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3473038\Downloads\"/>
    </mc:Choice>
  </mc:AlternateContent>
  <xr:revisionPtr revIDLastSave="0" documentId="13_ncr:1_{48F5C0CF-8F08-46A0-944B-46E50446C226}" xr6:coauthVersionLast="36" xr6:coauthVersionMax="40" xr10:uidLastSave="{00000000-0000-0000-0000-000000000000}"/>
  <bookViews>
    <workbookView xWindow="0" yWindow="0" windowWidth="23040" windowHeight="8484" activeTab="1" xr2:uid="{00000000-000D-0000-FFFF-FFFF00000000}"/>
  </bookViews>
  <sheets>
    <sheet name="Start" sheetId="2" r:id="rId1"/>
    <sheet name="Exceltivity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K42" i="3" l="1"/>
  <c r="E42" i="3" s="1"/>
  <c r="K38" i="3"/>
  <c r="E38" i="3" s="1"/>
  <c r="K39" i="3"/>
  <c r="E39" i="3" s="1"/>
  <c r="K40" i="3"/>
  <c r="E40" i="3" s="1"/>
  <c r="K41" i="3"/>
  <c r="E41" i="3" s="1"/>
  <c r="K48" i="3"/>
  <c r="E48" i="3" s="1"/>
  <c r="K36" i="3"/>
  <c r="E36" i="3" s="1"/>
  <c r="K37" i="3"/>
  <c r="E37" i="3" s="1"/>
  <c r="K43" i="3"/>
  <c r="E43" i="3" s="1"/>
  <c r="K44" i="3"/>
  <c r="E44" i="3" s="1"/>
  <c r="K35" i="3"/>
  <c r="E35" i="3" s="1"/>
  <c r="K45" i="3"/>
  <c r="E45" i="3" s="1"/>
  <c r="K46" i="3"/>
  <c r="E46" i="3" s="1"/>
  <c r="K47" i="3"/>
  <c r="E47" i="3" s="1"/>
  <c r="K49" i="3"/>
  <c r="E49" i="3" s="1"/>
  <c r="D5" i="3" l="1"/>
  <c r="M42" i="3" s="1"/>
  <c r="M48" i="3" l="1"/>
  <c r="M38" i="3"/>
  <c r="M39" i="3"/>
  <c r="M40" i="3"/>
  <c r="M41" i="3"/>
  <c r="M36" i="3"/>
  <c r="M37" i="3"/>
  <c r="M43" i="3"/>
  <c r="M44" i="3"/>
  <c r="M49" i="3"/>
  <c r="K31" i="3"/>
  <c r="E31" i="3" s="1"/>
  <c r="K25" i="3"/>
  <c r="E25" i="3" s="1"/>
  <c r="K17" i="3"/>
  <c r="E17" i="3" s="1"/>
  <c r="K18" i="3"/>
  <c r="E18" i="3" s="1"/>
  <c r="K26" i="3"/>
  <c r="E26" i="3" s="1"/>
  <c r="K34" i="3"/>
  <c r="E34" i="3" s="1"/>
  <c r="K19" i="3"/>
  <c r="E19" i="3" s="1"/>
  <c r="K27" i="3"/>
  <c r="E27" i="3" s="1"/>
  <c r="K20" i="3"/>
  <c r="E20" i="3" s="1"/>
  <c r="K28" i="3"/>
  <c r="E28" i="3" s="1"/>
  <c r="K29" i="3"/>
  <c r="E29" i="3" s="1"/>
  <c r="K21" i="3"/>
  <c r="E21" i="3" s="1"/>
  <c r="K22" i="3"/>
  <c r="E22" i="3" s="1"/>
  <c r="K30" i="3"/>
  <c r="E30" i="3" s="1"/>
  <c r="K15" i="3"/>
  <c r="E15" i="3" s="1"/>
  <c r="K23" i="3"/>
  <c r="E23" i="3" s="1"/>
  <c r="K16" i="3"/>
  <c r="E16" i="3" s="1"/>
  <c r="K24" i="3"/>
  <c r="E24" i="3" s="1"/>
  <c r="K32" i="3"/>
  <c r="E32" i="3" s="1"/>
  <c r="K33" i="3"/>
  <c r="E33" i="3" s="1"/>
  <c r="M46" i="3"/>
  <c r="M47" i="3"/>
  <c r="M35" i="3"/>
  <c r="M45" i="3"/>
  <c r="M33" i="3"/>
  <c r="M34" i="3"/>
  <c r="M31" i="3"/>
  <c r="M32" i="3"/>
  <c r="M30" i="3"/>
  <c r="K10" i="3"/>
  <c r="K9" i="3"/>
  <c r="K8" i="3"/>
  <c r="I8" i="3" l="1" a="1"/>
  <c r="I8" i="3" s="1"/>
  <c r="F10" i="3" a="1"/>
  <c r="F10" i="3" s="1"/>
  <c r="F12" i="3" a="1"/>
  <c r="F12" i="3" s="1"/>
  <c r="F11" i="3" a="1"/>
  <c r="F11" i="3" s="1"/>
  <c r="I9" i="3" a="1"/>
  <c r="I9" i="3" s="1"/>
  <c r="M16" i="3"/>
  <c r="M24" i="3"/>
  <c r="M25" i="3"/>
  <c r="M21" i="3"/>
  <c r="M18" i="3"/>
  <c r="M22" i="3"/>
  <c r="M26" i="3"/>
  <c r="M19" i="3"/>
  <c r="M23" i="3"/>
  <c r="M27" i="3"/>
  <c r="M20" i="3"/>
  <c r="M28" i="3"/>
  <c r="M17" i="3"/>
  <c r="M29" i="3"/>
  <c r="M15" i="3"/>
  <c r="F8" i="3" l="1" a="1"/>
  <c r="F8" i="3" s="1"/>
  <c r="F9" i="3" a="1"/>
  <c r="F9" i="3" s="1"/>
  <c r="M9" i="3"/>
  <c r="M8" i="3"/>
  <c r="I12" i="3" a="1"/>
  <c r="I12" i="3" s="1"/>
  <c r="I10" i="3" a="1"/>
  <c r="I10" i="3" s="1"/>
  <c r="I11" i="3" a="1"/>
  <c r="I11" i="3" s="1"/>
  <c r="H12" i="3" l="1" a="1"/>
  <c r="H12" i="3" s="1"/>
  <c r="G12" i="3" s="1" a="1"/>
  <c r="G12" i="3" s="1"/>
  <c r="H11" i="3" a="1"/>
  <c r="H11" i="3" s="1"/>
  <c r="G11" i="3" s="1" a="1"/>
  <c r="G11" i="3" s="1"/>
  <c r="H10" i="3" a="1"/>
  <c r="H10" i="3" s="1"/>
  <c r="G10" i="3" s="1" a="1"/>
  <c r="G10" i="3" s="1"/>
  <c r="H9" i="3" a="1"/>
  <c r="H9" i="3" s="1"/>
  <c r="G9" i="3" s="1"/>
  <c r="H8" i="3" a="1"/>
  <c r="H8" i="3" s="1"/>
  <c r="G8" i="3" s="1"/>
  <c r="E8" i="3" a="1"/>
  <c r="E8" i="3" s="1"/>
  <c r="C8" i="3" s="1"/>
  <c r="E12" i="3" a="1"/>
  <c r="E12" i="3" s="1"/>
  <c r="C12" i="3" s="1" a="1"/>
  <c r="C12" i="3" s="1"/>
  <c r="E11" i="3" a="1"/>
  <c r="E11" i="3" s="1"/>
  <c r="C11" i="3" s="1" a="1"/>
  <c r="C11" i="3" s="1"/>
  <c r="E10" i="3" a="1"/>
  <c r="E10" i="3" s="1"/>
  <c r="C10" i="3" s="1" a="1"/>
  <c r="C10" i="3" s="1"/>
  <c r="E9" i="3" a="1"/>
  <c r="E9" i="3" s="1"/>
  <c r="C9" i="3" s="1" a="1"/>
  <c r="C9" i="3" s="1"/>
</calcChain>
</file>

<file path=xl/sharedStrings.xml><?xml version="1.0" encoding="utf-8"?>
<sst xmlns="http://schemas.openxmlformats.org/spreadsheetml/2006/main" count="137" uniqueCount="82">
  <si>
    <t>Link</t>
  </si>
  <si>
    <t>Ersteller</t>
  </si>
  <si>
    <t xml:space="preserve">Der König </t>
  </si>
  <si>
    <t>Mail: info@Excel-koenig.de</t>
  </si>
  <si>
    <t>Vorlage</t>
  </si>
  <si>
    <t>http://bit.ly/2dza6an</t>
  </si>
  <si>
    <t>Exceltivity</t>
  </si>
  <si>
    <t>ID</t>
    <phoneticPr fontId="2" type="noConversion"/>
  </si>
  <si>
    <t>Kommentare</t>
    <phoneticPr fontId="2" type="noConversion"/>
  </si>
  <si>
    <t>Startdatum</t>
    <phoneticPr fontId="2" type="noConversion"/>
  </si>
  <si>
    <t>Enddatum</t>
    <phoneticPr fontId="2" type="noConversion"/>
  </si>
  <si>
    <t>Status</t>
    <phoneticPr fontId="2" type="noConversion"/>
  </si>
  <si>
    <t>Liste</t>
    <phoneticPr fontId="2" type="noConversion"/>
  </si>
  <si>
    <t>VitaminP.info</t>
  </si>
  <si>
    <t>Verantwortlich</t>
  </si>
  <si>
    <t>Kurzbeschreibung</t>
  </si>
  <si>
    <t>Datum:</t>
  </si>
  <si>
    <t>NEW</t>
  </si>
  <si>
    <t>DOING</t>
  </si>
  <si>
    <t>DONE</t>
  </si>
  <si>
    <t>Projekt X</t>
  </si>
  <si>
    <t>Privat</t>
  </si>
  <si>
    <t>Skizze anfertigen</t>
  </si>
  <si>
    <t>Peter</t>
  </si>
  <si>
    <t>in time</t>
  </si>
  <si>
    <t>Status</t>
  </si>
  <si>
    <t>www.excel-koenig.de</t>
  </si>
  <si>
    <t>Übrige AT</t>
  </si>
  <si>
    <t>TOP 5 Dringlichkeit</t>
  </si>
  <si>
    <t>Ideen</t>
  </si>
  <si>
    <t>Projekt Y</t>
  </si>
  <si>
    <t>Harry</t>
  </si>
  <si>
    <t>Monika</t>
  </si>
  <si>
    <t>Wolfgang</t>
  </si>
  <si>
    <t>Angebot einholen</t>
  </si>
  <si>
    <t>Power Point Folien</t>
  </si>
  <si>
    <t>Auto abholen</t>
  </si>
  <si>
    <t>Projektplan erstellen</t>
  </si>
  <si>
    <t>Projekt Kalkulation</t>
  </si>
  <si>
    <t>Pitch erstellen</t>
  </si>
  <si>
    <t>Kundengespräch</t>
  </si>
  <si>
    <t>Fussball Tickets</t>
  </si>
  <si>
    <t>Geburtstagsgeschenk</t>
  </si>
  <si>
    <t>Team Meeting einstellen</t>
  </si>
  <si>
    <t>Lessons learned Session</t>
  </si>
  <si>
    <t>Reporting neu aufsetzen</t>
  </si>
  <si>
    <t>Genehmigung Budget einholen</t>
  </si>
  <si>
    <t>Präsentation beim Kunden</t>
  </si>
  <si>
    <t>checke Tools</t>
  </si>
  <si>
    <t>Lieferantenliste prüfen</t>
  </si>
  <si>
    <t>Folienmaster von Monika</t>
  </si>
  <si>
    <t>vor Samstag</t>
  </si>
  <si>
    <t>Meilensteine abstimmen</t>
  </si>
  <si>
    <t>Zinssatz prüfen</t>
  </si>
  <si>
    <t>One Pager</t>
  </si>
  <si>
    <t>Assistenz vorher anrufen</t>
  </si>
  <si>
    <t>Schal noch besorgen</t>
  </si>
  <si>
    <t>Amazon Gutschein</t>
  </si>
  <si>
    <t>Mittwochs 14 Uhr</t>
  </si>
  <si>
    <t>Ganzes Team einladen</t>
  </si>
  <si>
    <t>Anforderungen prüfen</t>
  </si>
  <si>
    <t>Vorlage vorab prüfen</t>
  </si>
  <si>
    <t>halbe Stunde vorher da sein</t>
  </si>
  <si>
    <t>Überfällig TOP 5</t>
  </si>
  <si>
    <t>Überfällig</t>
  </si>
  <si>
    <t>Überblick</t>
  </si>
  <si>
    <t>Hilfsspalte</t>
  </si>
  <si>
    <t>Bernd</t>
  </si>
  <si>
    <t>Alex</t>
  </si>
  <si>
    <t>Patrick</t>
  </si>
  <si>
    <t>Wolfi</t>
  </si>
  <si>
    <t>Budget planen</t>
  </si>
  <si>
    <t>Pitch überarbeiten</t>
  </si>
  <si>
    <t>Auto waschen</t>
  </si>
  <si>
    <t>Büro planen</t>
  </si>
  <si>
    <t>keine</t>
  </si>
  <si>
    <t>Seite 10</t>
  </si>
  <si>
    <t>Termin um 13.00 Uhr</t>
  </si>
  <si>
    <t>Stühle kaufen</t>
  </si>
  <si>
    <t>blau</t>
  </si>
  <si>
    <t>Neues Projekt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</si>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</sst>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8"/>
      <name val="Verdana"/>
      <family val="2"/>
    </font>
    <font>
      <sz val="11"/>
      <color indexed="8"/>
      <name val="Calibri Light"/>
      <family val="2"/>
    </font>
    <font>
      <sz val="11"/>
      <color rgb="FF009F6D"/>
      <name val="Calibri Light"/>
      <family val="2"/>
    </font>
    <font>
      <sz val="16"/>
      <color rgb="FFE20074"/>
      <name val="Calibri Light"/>
      <family val="2"/>
    </font>
    <font>
      <sz val="22"/>
      <color rgb="FF009F6D"/>
      <name val="Calibri Light"/>
      <family val="2"/>
    </font>
    <font>
      <u/>
      <sz val="11"/>
      <color indexed="12"/>
      <name val="Calibri Light"/>
      <family val="2"/>
    </font>
    <font>
      <sz val="11"/>
      <color theme="0"/>
      <name val="Calibri Light"/>
      <family val="2"/>
    </font>
    <font>
      <sz val="10"/>
      <name val="Calibri Light"/>
      <family val="2"/>
    </font>
    <font>
      <sz val="11"/>
      <name val="Calibri Light"/>
      <family val="2"/>
    </font>
    <font>
      <u/>
      <sz val="10"/>
      <color indexed="12"/>
      <name val="Calibri Light"/>
      <family val="2"/>
    </font>
    <font>
      <b/>
      <sz val="11"/>
      <color rgb="FF009F6D"/>
      <name val="Calibri Light"/>
      <family val="2"/>
    </font>
    <font>
      <b/>
      <sz val="11"/>
      <color theme="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9F6D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thick">
        <color rgb="FF009F6D"/>
      </left>
      <right/>
      <top style="thick">
        <color rgb="FF009F6D"/>
      </top>
      <bottom/>
      <diagonal/>
    </border>
    <border>
      <left/>
      <right/>
      <top style="thick">
        <color rgb="FF009F6D"/>
      </top>
      <bottom/>
      <diagonal/>
    </border>
    <border>
      <left style="thick">
        <color rgb="FF009F6D"/>
      </left>
      <right/>
      <top/>
      <bottom/>
      <diagonal/>
    </border>
    <border>
      <left/>
      <right style="thick">
        <color rgb="FF009F6D"/>
      </right>
      <top style="thick">
        <color rgb="FF009F6D"/>
      </top>
      <bottom/>
      <diagonal/>
    </border>
    <border>
      <left/>
      <right style="thick">
        <color rgb="FF009F6D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ck">
        <color rgb="FF009F6D"/>
      </left>
      <right/>
      <top/>
      <bottom style="thick">
        <color rgb="FF009F6D"/>
      </bottom>
      <diagonal/>
    </border>
    <border>
      <left/>
      <right/>
      <top/>
      <bottom style="thick">
        <color rgb="FF009F6D"/>
      </bottom>
      <diagonal/>
    </border>
    <border>
      <left/>
      <right style="thick">
        <color rgb="FF009F6D"/>
      </right>
      <top/>
      <bottom style="thick">
        <color rgb="FF009F6D"/>
      </bottom>
      <diagonal/>
    </border>
    <border>
      <left/>
      <right style="thick">
        <color theme="0" tint="-0.499984740745262"/>
      </right>
      <top style="thick">
        <color rgb="FF009F6D"/>
      </top>
      <bottom/>
      <diagonal/>
    </border>
    <border>
      <left/>
      <right style="thick">
        <color theme="0" tint="-0.499984740745262"/>
      </right>
      <top/>
      <bottom/>
      <diagonal/>
    </border>
    <border>
      <left/>
      <right style="thick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3" fillId="0" borderId="0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0" xfId="0" applyFont="1"/>
    <xf numFmtId="0" fontId="3" fillId="0" borderId="10" xfId="0" applyFont="1" applyBorder="1"/>
    <xf numFmtId="0" fontId="4" fillId="0" borderId="11" xfId="0" applyFont="1" applyBorder="1" applyAlignment="1"/>
    <xf numFmtId="14" fontId="4" fillId="0" borderId="13" xfId="0" applyNumberFormat="1" applyFont="1" applyBorder="1" applyAlignment="1">
      <alignment horizontal="left"/>
    </xf>
    <xf numFmtId="0" fontId="5" fillId="0" borderId="1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3" fillId="0" borderId="12" xfId="0" applyFont="1" applyBorder="1"/>
    <xf numFmtId="0" fontId="4" fillId="0" borderId="0" xfId="0" applyFont="1" applyBorder="1" applyAlignment="1"/>
    <xf numFmtId="0" fontId="7" fillId="0" borderId="14" xfId="1" applyFont="1" applyBorder="1" applyAlignment="1" applyProtection="1">
      <alignment horizontal="left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0" borderId="18" xfId="0" applyFont="1" applyBorder="1"/>
    <xf numFmtId="0" fontId="4" fillId="0" borderId="19" xfId="0" applyFont="1" applyBorder="1" applyAlignment="1"/>
    <xf numFmtId="0" fontId="4" fillId="0" borderId="20" xfId="0" applyFont="1" applyBorder="1" applyAlignment="1">
      <alignment horizontal="left"/>
    </xf>
    <xf numFmtId="0" fontId="5" fillId="0" borderId="19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3" fillId="2" borderId="2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left"/>
    </xf>
    <xf numFmtId="0" fontId="3" fillId="2" borderId="11" xfId="0" applyFont="1" applyFill="1" applyBorder="1"/>
    <xf numFmtId="0" fontId="3" fillId="2" borderId="21" xfId="0" applyFont="1" applyFill="1" applyBorder="1"/>
    <xf numFmtId="0" fontId="3" fillId="2" borderId="22" xfId="0" applyFont="1" applyFill="1" applyBorder="1"/>
    <xf numFmtId="14" fontId="3" fillId="2" borderId="0" xfId="0" applyNumberFormat="1" applyFont="1" applyFill="1" applyBorder="1" applyAlignment="1">
      <alignment horizontal="left"/>
    </xf>
    <xf numFmtId="0" fontId="8" fillId="4" borderId="16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left"/>
    </xf>
    <xf numFmtId="14" fontId="3" fillId="0" borderId="16" xfId="0" applyNumberFormat="1" applyFont="1" applyFill="1" applyBorder="1" applyAlignment="1">
      <alignment horizontal="left"/>
    </xf>
    <xf numFmtId="0" fontId="8" fillId="0" borderId="16" xfId="0" applyFont="1" applyFill="1" applyBorder="1" applyAlignment="1">
      <alignment horizontal="left"/>
    </xf>
    <xf numFmtId="14" fontId="3" fillId="0" borderId="15" xfId="0" applyNumberFormat="1" applyFont="1" applyFill="1" applyBorder="1" applyAlignment="1">
      <alignment horizontal="left"/>
    </xf>
    <xf numFmtId="0" fontId="3" fillId="0" borderId="17" xfId="0" applyFont="1" applyFill="1" applyBorder="1" applyAlignment="1">
      <alignment horizontal="left"/>
    </xf>
    <xf numFmtId="0" fontId="3" fillId="2" borderId="4" xfId="0" applyFont="1" applyFill="1" applyBorder="1"/>
    <xf numFmtId="0" fontId="3" fillId="3" borderId="5" xfId="0" applyFont="1" applyFill="1" applyBorder="1"/>
    <xf numFmtId="0" fontId="3" fillId="3" borderId="5" xfId="0" applyFont="1" applyFill="1" applyBorder="1" applyAlignment="1">
      <alignment horizontal="left"/>
    </xf>
    <xf numFmtId="3" fontId="3" fillId="3" borderId="5" xfId="0" applyNumberFormat="1" applyFont="1" applyFill="1" applyBorder="1"/>
    <xf numFmtId="3" fontId="3" fillId="3" borderId="23" xfId="0" applyNumberFormat="1" applyFont="1" applyFill="1" applyBorder="1"/>
    <xf numFmtId="0" fontId="3" fillId="0" borderId="7" xfId="0" applyFont="1" applyBorder="1"/>
    <xf numFmtId="0" fontId="9" fillId="0" borderId="8" xfId="0" applyFont="1" applyBorder="1" applyAlignment="1">
      <alignment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2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3" xfId="1" applyFont="1" applyBorder="1" applyAlignment="1" applyProtection="1">
      <alignment horizontal="right"/>
    </xf>
    <xf numFmtId="0" fontId="3" fillId="0" borderId="4" xfId="0" applyFont="1" applyBorder="1"/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right"/>
    </xf>
    <xf numFmtId="0" fontId="7" fillId="0" borderId="6" xfId="1" applyFont="1" applyBorder="1" applyAlignment="1" applyProtection="1">
      <alignment horizontal="right"/>
    </xf>
    <xf numFmtId="0" fontId="3" fillId="0" borderId="0" xfId="0" applyFont="1" applyAlignment="1">
      <alignment horizontal="left"/>
    </xf>
    <xf numFmtId="3" fontId="3" fillId="0" borderId="0" xfId="0" applyNumberFormat="1" applyFont="1"/>
    <xf numFmtId="0" fontId="3" fillId="0" borderId="5" xfId="0" applyFont="1" applyBorder="1"/>
    <xf numFmtId="0" fontId="12" fillId="0" borderId="3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/>
    <xf numFmtId="0" fontId="3" fillId="0" borderId="5" xfId="0" applyFont="1" applyFill="1" applyBorder="1" applyAlignment="1">
      <alignment horizontal="left"/>
    </xf>
    <xf numFmtId="0" fontId="3" fillId="0" borderId="6" xfId="0" applyFont="1" applyFill="1" applyBorder="1"/>
    <xf numFmtId="0" fontId="4" fillId="0" borderId="0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3" xfId="0" applyFont="1" applyFill="1" applyBorder="1"/>
    <xf numFmtId="0" fontId="10" fillId="0" borderId="0" xfId="0" applyFont="1" applyFill="1" applyBorder="1"/>
    <xf numFmtId="14" fontId="4" fillId="0" borderId="11" xfId="0" applyNumberFormat="1" applyFont="1" applyBorder="1" applyAlignment="1">
      <alignment horizontal="left"/>
    </xf>
    <xf numFmtId="0" fontId="7" fillId="0" borderId="0" xfId="1" applyFont="1" applyBorder="1" applyAlignment="1" applyProtection="1">
      <alignment horizontal="left"/>
    </xf>
    <xf numFmtId="0" fontId="4" fillId="0" borderId="19" xfId="0" applyFont="1" applyBorder="1" applyAlignment="1">
      <alignment horizontal="left"/>
    </xf>
    <xf numFmtId="0" fontId="10" fillId="0" borderId="5" xfId="0" applyFont="1" applyFill="1" applyBorder="1" applyAlignment="1">
      <alignment horizontal="center"/>
    </xf>
    <xf numFmtId="164" fontId="3" fillId="0" borderId="15" xfId="0" applyNumberFormat="1" applyFont="1" applyFill="1" applyBorder="1" applyAlignment="1">
      <alignment horizontal="center"/>
    </xf>
    <xf numFmtId="164" fontId="3" fillId="0" borderId="17" xfId="0" applyNumberFormat="1" applyFont="1" applyFill="1" applyBorder="1" applyAlignment="1">
      <alignment horizontal="center"/>
    </xf>
    <xf numFmtId="1" fontId="3" fillId="0" borderId="16" xfId="0" applyNumberFormat="1" applyFont="1" applyFill="1" applyBorder="1" applyAlignment="1">
      <alignment horizontal="left"/>
    </xf>
    <xf numFmtId="0" fontId="12" fillId="0" borderId="2" xfId="0" applyFont="1" applyFill="1" applyBorder="1" applyAlignment="1"/>
    <xf numFmtId="0" fontId="13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8" fillId="4" borderId="24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1" fontId="3" fillId="0" borderId="15" xfId="0" applyNumberFormat="1" applyFont="1" applyFill="1" applyBorder="1" applyAlignment="1">
      <alignment horizontal="left"/>
    </xf>
    <xf numFmtId="0" fontId="8" fillId="0" borderId="15" xfId="0" applyNumberFormat="1" applyFont="1" applyFill="1" applyBorder="1" applyAlignment="1">
      <alignment horizontal="left"/>
    </xf>
    <xf numFmtId="14" fontId="3" fillId="0" borderId="17" xfId="0" applyNumberFormat="1" applyFont="1" applyFill="1" applyBorder="1" applyAlignment="1">
      <alignment horizontal="left"/>
    </xf>
    <xf numFmtId="1" fontId="3" fillId="0" borderId="17" xfId="0" applyNumberFormat="1" applyFont="1" applyFill="1" applyBorder="1" applyAlignment="1">
      <alignment horizontal="left"/>
    </xf>
    <xf numFmtId="0" fontId="8" fillId="0" borderId="17" xfId="0" applyNumberFormat="1" applyFont="1" applyFill="1" applyBorder="1" applyAlignment="1">
      <alignment horizontal="left"/>
    </xf>
  </cellXfs>
  <cellStyles count="2">
    <cellStyle name="Link" xfId="1" builtinId="8"/>
    <cellStyle name="Standard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 Light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 Light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 Light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 Light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top style="thin">
          <color theme="0" tint="-0.34998626667073579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 Light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 Light"/>
        <family val="2"/>
        <scheme val="none"/>
      </font>
      <fill>
        <patternFill patternType="solid">
          <fgColor indexed="64"/>
          <bgColor rgb="FF009F6D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</dxfs>
  <tableStyles count="0" defaultTableStyle="TableStyleMedium9"/>
  <colors>
    <mruColors>
      <color rgb="FF009F6D"/>
      <color rgb="FFFF0000"/>
      <color rgb="FF99FF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vitaminp.info/free-ebook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s://www.excel-koenig.de/gratis-ebook/" TargetMode="External"/><Relationship Id="rId5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16</xdr:row>
      <xdr:rowOff>28575</xdr:rowOff>
    </xdr:from>
    <xdr:to>
      <xdr:col>13</xdr:col>
      <xdr:colOff>400050</xdr:colOff>
      <xdr:row>31</xdr:row>
      <xdr:rowOff>28575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E028FE7-06C3-4F0C-9D69-06C87FB2C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3076575"/>
          <a:ext cx="9467850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166686</xdr:colOff>
      <xdr:row>1</xdr:row>
      <xdr:rowOff>57336</xdr:rowOff>
    </xdr:from>
    <xdr:to>
      <xdr:col>11</xdr:col>
      <xdr:colOff>1049726</xdr:colOff>
      <xdr:row>3</xdr:row>
      <xdr:rowOff>190500</xdr:rowOff>
    </xdr:to>
    <xdr:pic>
      <xdr:nvPicPr>
        <xdr:cNvPr id="2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53561" y="162111"/>
          <a:ext cx="879230" cy="676089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1108075</xdr:colOff>
      <xdr:row>1</xdr:row>
      <xdr:rowOff>59266</xdr:rowOff>
    </xdr:from>
    <xdr:to>
      <xdr:col>12</xdr:col>
      <xdr:colOff>570353</xdr:colOff>
      <xdr:row>3</xdr:row>
      <xdr:rowOff>207769</xdr:rowOff>
    </xdr:to>
    <xdr:pic>
      <xdr:nvPicPr>
        <xdr:cNvPr id="3" name="Grafi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B4706EC-D3E9-45CE-90E9-B1482EDA4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94950" y="164041"/>
          <a:ext cx="719578" cy="695238"/>
        </a:xfrm>
        <a:prstGeom prst="rect">
          <a:avLst/>
        </a:prstGeom>
      </xdr:spPr>
    </xdr:pic>
    <xdr:clientData/>
  </xdr:twoCellAnchor>
  <xdr:twoCellAnchor editAs="oneCell">
    <xdr:from>
      <xdr:col>6</xdr:col>
      <xdr:colOff>142875</xdr:colOff>
      <xdr:row>1</xdr:row>
      <xdr:rowOff>27276</xdr:rowOff>
    </xdr:from>
    <xdr:to>
      <xdr:col>7</xdr:col>
      <xdr:colOff>457200</xdr:colOff>
      <xdr:row>3</xdr:row>
      <xdr:rowOff>248370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7BC1823-549E-46DD-BA17-C19FBF29C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132051"/>
          <a:ext cx="2524125" cy="767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C14:M49" totalsRowShown="0" headerRowDxfId="14" dataDxfId="12" headerRowBorderDxfId="13" tableBorderDxfId="11">
  <autoFilter ref="C14:M49" xr:uid="{00000000-0009-0000-0100-000001000000}"/>
  <tableColumns count="11">
    <tableColumn id="1" xr3:uid="{00000000-0010-0000-0000-000001000000}" name="ID" dataDxfId="10"/>
    <tableColumn id="2" xr3:uid="{00000000-0010-0000-0000-000002000000}" name="Verantwortlich" dataDxfId="9"/>
    <tableColumn id="11" xr3:uid="{00000000-0010-0000-0000-00000B000000}" name="Hilfsspalte" dataDxfId="0">
      <calculatedColumnFormula>IF(Tabelle1[[#This Row],[Übrige AT]]="","",Tabelle1[[#This Row],[Übrige AT]]-ROW()/1000000)</calculatedColumnFormula>
    </tableColumn>
    <tableColumn id="4" xr3:uid="{00000000-0010-0000-0000-000004000000}" name="Kurzbeschreibung" dataDxfId="8"/>
    <tableColumn id="5" xr3:uid="{00000000-0010-0000-0000-000005000000}" name="Kommentare" dataDxfId="7"/>
    <tableColumn id="6" xr3:uid="{00000000-0010-0000-0000-000006000000}" name="Status" dataDxfId="6"/>
    <tableColumn id="7" xr3:uid="{00000000-0010-0000-0000-000007000000}" name="Startdatum" dataDxfId="5"/>
    <tableColumn id="3" xr3:uid="{00000000-0010-0000-0000-000003000000}" name="Enddatum" dataDxfId="4"/>
    <tableColumn id="8" xr3:uid="{00000000-0010-0000-0000-000008000000}" name="Übrige AT" dataDxfId="1">
      <calculatedColumnFormula>IF(Tabelle1[[#This Row],[Enddatum]]="","",NETWORKDAYS($D$5,Tabelle1[[#This Row],[Enddatum]]))</calculatedColumnFormula>
    </tableColumn>
    <tableColumn id="9" xr3:uid="{00000000-0010-0000-0000-000009000000}" name="Liste" dataDxfId="3"/>
    <tableColumn id="10" xr3:uid="{00000000-0010-0000-0000-00000A000000}" name="in time" dataDxfId="2">
      <calculatedColumnFormula>IF(AND(Tabelle1[[#This Row],[Status]]&lt;&gt;"DONE",Tabelle1[[#This Row],[Enddatum]]&lt;$D$5),-2,1)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itaminp.info/" TargetMode="External"/><Relationship Id="rId2" Type="http://schemas.openxmlformats.org/officeDocument/2006/relationships/hyperlink" Target="http://bit.ly/2dza6an" TargetMode="External"/><Relationship Id="rId1" Type="http://schemas.openxmlformats.org/officeDocument/2006/relationships/hyperlink" Target="http://www.excel-koenig.de/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opLeftCell="A14" workbookViewId="0">
      <selection activeCell="C16" sqref="C16"/>
    </sheetView>
  </sheetViews>
  <sheetFormatPr baseColWidth="10" defaultRowHeight="14.4" x14ac:dyDescent="0.3"/>
  <sheetData/>
  <pageMargins left="0.7" right="0.7" top="0.78740157499999996" bottom="0.78740157499999996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60"/>
  <sheetViews>
    <sheetView showGridLines="0" tabSelected="1" zoomScale="90" zoomScaleNormal="90" workbookViewId="0">
      <selection activeCell="J21" sqref="J21"/>
    </sheetView>
  </sheetViews>
  <sheetFormatPr baseColWidth="10" defaultColWidth="10.88671875" defaultRowHeight="14.4" x14ac:dyDescent="0.3"/>
  <cols>
    <col min="1" max="2" width="1.33203125" style="4" customWidth="1"/>
    <col min="3" max="3" width="7.6640625" style="4" bestFit="1" customWidth="1"/>
    <col min="4" max="4" width="18.33203125" style="53" bestFit="1" customWidth="1"/>
    <col min="5" max="5" width="11.77734375" style="53" hidden="1" customWidth="1"/>
    <col min="6" max="6" width="26.33203125" style="53" bestFit="1" customWidth="1"/>
    <col min="7" max="7" width="33.109375" style="53" customWidth="1"/>
    <col min="8" max="8" width="8.6640625" style="53" bestFit="1" customWidth="1"/>
    <col min="9" max="10" width="13.6640625" style="53" customWidth="1"/>
    <col min="11" max="11" width="14.6640625" style="53" bestFit="1" customWidth="1"/>
    <col min="12" max="12" width="18.88671875" style="53" customWidth="1"/>
    <col min="13" max="13" width="9.6640625" style="4" bestFit="1" customWidth="1"/>
    <col min="14" max="14" width="1.44140625" style="4" customWidth="1"/>
    <col min="15" max="16384" width="10.88671875" style="4"/>
  </cols>
  <sheetData>
    <row r="1" spans="2:14" ht="8.25" customHeight="1" thickBot="1" x14ac:dyDescent="0.35">
      <c r="B1" s="1"/>
      <c r="C1" s="2"/>
      <c r="D1" s="3"/>
      <c r="E1" s="3"/>
      <c r="F1" s="3"/>
      <c r="G1" s="3"/>
      <c r="H1" s="3"/>
      <c r="I1" s="3"/>
      <c r="J1" s="3"/>
      <c r="K1" s="3"/>
      <c r="L1" s="3"/>
      <c r="M1" s="2"/>
      <c r="N1" s="2"/>
    </row>
    <row r="2" spans="2:14" ht="21.6" thickTop="1" x14ac:dyDescent="0.3">
      <c r="B2" s="5"/>
      <c r="C2" s="6" t="s">
        <v>4</v>
      </c>
      <c r="D2" s="7" t="s">
        <v>6</v>
      </c>
      <c r="E2" s="71"/>
      <c r="F2" s="8"/>
      <c r="G2" s="8"/>
      <c r="H2" s="8"/>
      <c r="I2" s="8"/>
      <c r="J2" s="8"/>
      <c r="K2" s="8"/>
      <c r="L2" s="9"/>
      <c r="M2" s="82"/>
      <c r="N2" s="83"/>
    </row>
    <row r="3" spans="2:14" ht="21" x14ac:dyDescent="0.3">
      <c r="B3" s="10"/>
      <c r="C3" s="11" t="s">
        <v>0</v>
      </c>
      <c r="D3" s="12" t="s">
        <v>5</v>
      </c>
      <c r="E3" s="72"/>
      <c r="F3" s="13"/>
      <c r="G3" s="13"/>
      <c r="H3" s="13"/>
      <c r="I3" s="13"/>
      <c r="J3" s="13"/>
      <c r="K3" s="13"/>
      <c r="L3" s="14"/>
      <c r="M3" s="84"/>
      <c r="N3" s="85"/>
    </row>
    <row r="4" spans="2:14" ht="21.6" thickBot="1" x14ac:dyDescent="0.35">
      <c r="B4" s="15"/>
      <c r="C4" s="16" t="s">
        <v>1</v>
      </c>
      <c r="D4" s="17" t="s">
        <v>2</v>
      </c>
      <c r="E4" s="73"/>
      <c r="F4" s="18"/>
      <c r="G4" s="18"/>
      <c r="H4" s="18"/>
      <c r="I4" s="18"/>
      <c r="J4" s="18"/>
      <c r="K4" s="18"/>
      <c r="L4" s="19"/>
      <c r="M4" s="86"/>
      <c r="N4" s="87"/>
    </row>
    <row r="5" spans="2:14" ht="15.6" thickTop="1" thickBot="1" x14ac:dyDescent="0.35">
      <c r="B5" s="20"/>
      <c r="C5" s="21" t="s">
        <v>16</v>
      </c>
      <c r="D5" s="26">
        <f ca="1">TODAY()</f>
        <v>43658</v>
      </c>
      <c r="E5" s="26"/>
      <c r="F5" s="22"/>
      <c r="G5" s="22"/>
      <c r="H5" s="22"/>
      <c r="I5" s="22"/>
      <c r="J5" s="22"/>
      <c r="K5" s="22"/>
      <c r="L5" s="22"/>
      <c r="M5" s="23"/>
      <c r="N5" s="24"/>
    </row>
    <row r="6" spans="2:14" ht="15" thickBot="1" x14ac:dyDescent="0.35">
      <c r="B6" s="20"/>
      <c r="C6" s="94" t="s">
        <v>28</v>
      </c>
      <c r="D6" s="95"/>
      <c r="E6" s="95"/>
      <c r="F6" s="96"/>
      <c r="G6" s="94" t="s">
        <v>63</v>
      </c>
      <c r="H6" s="95"/>
      <c r="I6" s="96"/>
      <c r="J6" s="88" t="s">
        <v>65</v>
      </c>
      <c r="K6" s="89"/>
      <c r="L6" s="89"/>
      <c r="M6" s="90"/>
      <c r="N6" s="25"/>
    </row>
    <row r="7" spans="2:14" x14ac:dyDescent="0.3">
      <c r="B7" s="20"/>
      <c r="C7" s="97" t="s">
        <v>15</v>
      </c>
      <c r="D7" s="98"/>
      <c r="E7" s="57" t="s">
        <v>66</v>
      </c>
      <c r="F7" s="56" t="s">
        <v>27</v>
      </c>
      <c r="G7" s="78" t="s">
        <v>15</v>
      </c>
      <c r="H7" s="79" t="s">
        <v>66</v>
      </c>
      <c r="I7" s="56" t="s">
        <v>27</v>
      </c>
      <c r="J7" s="91" t="s">
        <v>25</v>
      </c>
      <c r="K7" s="92"/>
      <c r="L7" s="92" t="s">
        <v>24</v>
      </c>
      <c r="M7" s="93"/>
      <c r="N7" s="25"/>
    </row>
    <row r="8" spans="2:14" x14ac:dyDescent="0.3">
      <c r="B8" s="20"/>
      <c r="C8" s="60" t="str">
        <f ca="1">IFERROR(INDEX(Tabelle1[Kurzbeschreibung],MATCH(E8,Tabelle1[Hilfsspalte],0),1),"")</f>
        <v>Auto waschen</v>
      </c>
      <c r="D8" s="4"/>
      <c r="E8" s="68">
        <f t="array" aca="1" ref="E8" ca="1">SMALL(IF((Tabelle1[Status]&lt;&gt;"DONE")*(Tabelle1[Hilfsspalte]&gt;0),Tabelle1[Hilfsspalte]),1)</f>
        <v>0.99996799999999997</v>
      </c>
      <c r="F8" s="58">
        <f t="array" aca="1" ref="F8" ca="1">IFERROR(SMALL(IF((Tabelle1[Status]&lt;&gt;"DONE")*(Tabelle1[Übrige AT]&gt;0),Tabelle1[Übrige AT]),1),"")</f>
        <v>1</v>
      </c>
      <c r="G8" s="60" t="str">
        <f ca="1">IFERROR(INDEX(Tabelle1[Kurzbeschreibung],MATCH(H8,Tabelle1[Hilfsspalte],0),1),"")</f>
        <v>Skizze anfertigen</v>
      </c>
      <c r="H8" s="80">
        <f t="array" aca="1" ref="H8" ca="1">SMALL(IF((Tabelle1[Status]&lt;&gt;"DONE")*(Tabelle1[Hilfsspalte]&lt;0),Tabelle1[Hilfsspalte]),1)</f>
        <v>-133.00001499999999</v>
      </c>
      <c r="I8" s="58">
        <f t="array" aca="1" ref="I8" ca="1">IFERROR(SMALL(IF((Tabelle1[Status]&lt;&gt;"DONE")*(Tabelle1[Übrige AT]&lt;0),Tabelle1[Übrige AT]),1),"")</f>
        <v>-133</v>
      </c>
      <c r="J8" s="66" t="s">
        <v>17</v>
      </c>
      <c r="K8" s="68">
        <f>COUNTIF(Tabelle1[Status],J8)</f>
        <v>5</v>
      </c>
      <c r="L8" s="70" t="s">
        <v>64</v>
      </c>
      <c r="M8" s="58">
        <f ca="1">COUNTIF(Tabelle1[in time],-2)</f>
        <v>19</v>
      </c>
      <c r="N8" s="25"/>
    </row>
    <row r="9" spans="2:14" x14ac:dyDescent="0.3">
      <c r="B9" s="20"/>
      <c r="C9" s="60" t="str">
        <f t="array" aca="1" ref="C9" ca="1">IFERROR(INDEX(Tabelle1[Kurzbeschreibung],MATCH(E9,Tabelle1[Hilfsspalte],0),1),"")</f>
        <v>Pitch überarbeiten</v>
      </c>
      <c r="D9" s="4"/>
      <c r="E9" s="68">
        <f t="array" aca="1" ref="E9" ca="1">SMALL(IF((Tabelle1[Status]&lt;&gt;"DONE")*(Tabelle1[Hilfsspalte]&gt;0),Tabelle1[Hilfsspalte]),2)</f>
        <v>4.9999690000000001</v>
      </c>
      <c r="F9" s="58">
        <f t="array" aca="1" ref="F9" ca="1">IFERROR(SMALL(IF((Tabelle1[Status]&lt;&gt;"DONE")*(Tabelle1[Übrige AT]&gt;0),Tabelle1[Übrige AT]),2),"")</f>
        <v>5</v>
      </c>
      <c r="G9" s="60" t="str">
        <f ca="1">IFERROR(INDEX(Tabelle1[Kurzbeschreibung],MATCH(H9,Tabelle1[Hilfsspalte],0),1),"")</f>
        <v>Projekt Kalkulation</v>
      </c>
      <c r="H9" s="80">
        <f t="array" aca="1" ref="H9" ca="1">SMALL(IF((Tabelle1[Status]&lt;&gt;"DONE")*(Tabelle1[Hilfsspalte]&lt;0),Tabelle1[Hilfsspalte]),2)</f>
        <v>-129.00002000000001</v>
      </c>
      <c r="I9" s="58">
        <f t="array" aca="1" ref="I9" ca="1">IFERROR(SMALL(IF((Tabelle1[Status]&lt;&gt;"DONE")*(Tabelle1[Übrige AT]&lt;0),Tabelle1[Übrige AT]),2),"")</f>
        <v>-129</v>
      </c>
      <c r="J9" s="66" t="s">
        <v>18</v>
      </c>
      <c r="K9" s="68">
        <f>COUNTIF(Tabelle1[Status],J9)</f>
        <v>10</v>
      </c>
      <c r="L9" s="70" t="s">
        <v>24</v>
      </c>
      <c r="M9" s="58">
        <f ca="1">COUNTIF(Tabelle1[in time],1)</f>
        <v>16</v>
      </c>
      <c r="N9" s="25"/>
    </row>
    <row r="10" spans="2:14" x14ac:dyDescent="0.3">
      <c r="B10" s="20"/>
      <c r="C10" s="60" t="str">
        <f t="array" aca="1" ref="C10" ca="1">IFERROR(INDEX(Tabelle1[Kurzbeschreibung],MATCH(E10,Tabelle1[Hilfsspalte],0),1),"")</f>
        <v>Auto abholen</v>
      </c>
      <c r="D10" s="4"/>
      <c r="E10" s="68">
        <f t="array" aca="1" ref="E10" ca="1">SMALL(IF((Tabelle1[Status]&lt;&gt;"DONE")*(Tabelle1[Hilfsspalte]&gt;0),Tabelle1[Hilfsspalte]),3)</f>
        <v>20.999981999999999</v>
      </c>
      <c r="F10" s="58">
        <f t="array" aca="1" ref="F10" ca="1">IFERROR(SMALL(IF((Tabelle1[Status]&lt;&gt;"DONE")*(Tabelle1[Übrige AT]&gt;0),Tabelle1[Übrige AT]),3),"")</f>
        <v>21</v>
      </c>
      <c r="G10" s="60" t="str">
        <f t="array" aca="1" ref="G10" ca="1">IFERROR(INDEX(Tabelle1[Kurzbeschreibung],MATCH(H10,Tabelle1[Hilfsspalte],0),1),"")</f>
        <v>Pitch erstellen</v>
      </c>
      <c r="H10" s="80">
        <f t="array" aca="1" ref="H10" ca="1">SMALL(IF((Tabelle1[Status]&lt;&gt;"DONE")*(Tabelle1[Hilfsspalte]&lt;0),Tabelle1[Hilfsspalte]),3)</f>
        <v>-120.000021</v>
      </c>
      <c r="I10" s="58">
        <f t="array" aca="1" ref="I10" ca="1">IFERROR(SMALL(IF((Tabelle1[Status]&lt;&gt;"DONE")*(Tabelle1[Übrige AT]&lt;0),Tabelle1[Übrige AT]),3),"")</f>
        <v>-120</v>
      </c>
      <c r="J10" s="66" t="s">
        <v>19</v>
      </c>
      <c r="K10" s="68">
        <f>COUNTIF(Tabelle1[Status],J10)</f>
        <v>5</v>
      </c>
      <c r="L10" s="67"/>
      <c r="M10" s="69"/>
      <c r="N10" s="25"/>
    </row>
    <row r="11" spans="2:14" x14ac:dyDescent="0.3">
      <c r="B11" s="20"/>
      <c r="C11" s="60" t="str">
        <f t="array" aca="1" ref="C11" ca="1">IFERROR(INDEX(Tabelle1[Kurzbeschreibung],MATCH(E11,Tabelle1[Hilfsspalte],0),1),"")</f>
        <v>Büro planen</v>
      </c>
      <c r="D11" s="4"/>
      <c r="E11" s="68">
        <f t="array" aca="1" ref="E11" ca="1">SMALL(IF((Tabelle1[Status]&lt;&gt;"DONE")*(Tabelle1[Hilfsspalte]&gt;0),Tabelle1[Hilfsspalte]),4)</f>
        <v>30.999967000000002</v>
      </c>
      <c r="F11" s="58">
        <f t="array" aca="1" ref="F11" ca="1">IFERROR(SMALL(IF((Tabelle1[Status]&lt;&gt;"DONE")*(Tabelle1[Übrige AT]&gt;0),Tabelle1[Übrige AT]),4),"")</f>
        <v>31</v>
      </c>
      <c r="G11" s="60" t="str">
        <f t="array" aca="1" ref="G11" ca="1">IFERROR(INDEX(Tabelle1[Kurzbeschreibung],MATCH(H11,Tabelle1[Hilfsspalte],0),1),"")</f>
        <v>Fussball Tickets</v>
      </c>
      <c r="H11" s="80">
        <f t="array" aca="1" ref="H11" ca="1">SMALL(IF((Tabelle1[Status]&lt;&gt;"DONE")*(Tabelle1[Hilfsspalte]&lt;0),Tabelle1[Hilfsspalte]),4)</f>
        <v>-100.000023</v>
      </c>
      <c r="I11" s="58">
        <f t="array" aca="1" ref="I11" ca="1">IFERROR(SMALL(IF((Tabelle1[Status]&lt;&gt;"DONE")*(Tabelle1[Übrige AT]&lt;0),Tabelle1[Übrige AT]),4),"")</f>
        <v>-100</v>
      </c>
      <c r="K11" s="65"/>
      <c r="M11" s="62"/>
      <c r="N11" s="25"/>
    </row>
    <row r="12" spans="2:14" ht="15" thickBot="1" x14ac:dyDescent="0.35">
      <c r="B12" s="20"/>
      <c r="C12" s="61" t="str">
        <f t="array" aca="1" ref="C12" ca="1">IFERROR(INDEX(Tabelle1[Kurzbeschreibung],MATCH(E12,Tabelle1[Hilfsspalte],0),1),"")</f>
        <v>Budget planen</v>
      </c>
      <c r="D12" s="55"/>
      <c r="E12" s="74">
        <f t="array" aca="1" ref="E12" ca="1">SMALL(IF((Tabelle1[Status]&lt;&gt;"DONE")*(Tabelle1[Hilfsspalte]&gt;0),Tabelle1[Hilfsspalte]),5)</f>
        <v>35.999969999999998</v>
      </c>
      <c r="F12" s="59">
        <f t="array" aca="1" ref="F12" ca="1">IFERROR(SMALL(IF((Tabelle1[Status]&lt;&gt;"DONE")*(Tabelle1[Übrige AT]&gt;0),Tabelle1[Übrige AT]),5),"")</f>
        <v>36</v>
      </c>
      <c r="G12" s="61" t="str">
        <f t="array" aca="1" ref="G12" ca="1">IFERROR(INDEX(Tabelle1[Kurzbeschreibung],MATCH(H12,Tabelle1[Hilfsspalte],0),1),"")</f>
        <v/>
      </c>
      <c r="H12" s="81" t="e">
        <f t="array" aca="1" ref="H12" ca="1">SMALL(IF((Tabelle1[Status]&lt;&gt;"DONE")*(Tabelle1[Hilfsspalte]&lt;0),Tabelle1[Hilfsspalte]),5)</f>
        <v>#NUM!</v>
      </c>
      <c r="I12" s="59" t="str">
        <f t="array" aca="1" ref="I12" ca="1">IFERROR(SMALL(IF((Tabelle1[Status]&lt;&gt;"DONE")*(Tabelle1[Übrige AT]&lt;0),Tabelle1[Übrige AT]),5),"")</f>
        <v/>
      </c>
      <c r="J12" s="63"/>
      <c r="K12" s="63"/>
      <c r="L12" s="63"/>
      <c r="M12" s="64"/>
      <c r="N12" s="25"/>
    </row>
    <row r="13" spans="2:14" x14ac:dyDescent="0.3">
      <c r="B13" s="20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1"/>
      <c r="N13" s="25"/>
    </row>
    <row r="14" spans="2:14" ht="17.25" customHeight="1" x14ac:dyDescent="0.3">
      <c r="B14" s="20"/>
      <c r="C14" s="27" t="s">
        <v>7</v>
      </c>
      <c r="D14" s="27" t="s">
        <v>14</v>
      </c>
      <c r="E14" s="27" t="s">
        <v>66</v>
      </c>
      <c r="F14" s="27" t="s">
        <v>15</v>
      </c>
      <c r="G14" s="27" t="s">
        <v>8</v>
      </c>
      <c r="H14" s="27" t="s">
        <v>11</v>
      </c>
      <c r="I14" s="27" t="s">
        <v>9</v>
      </c>
      <c r="J14" s="27" t="s">
        <v>10</v>
      </c>
      <c r="K14" s="27" t="s">
        <v>27</v>
      </c>
      <c r="L14" s="27" t="s">
        <v>12</v>
      </c>
      <c r="M14" s="27" t="s">
        <v>24</v>
      </c>
      <c r="N14" s="25"/>
    </row>
    <row r="15" spans="2:14" x14ac:dyDescent="0.3">
      <c r="B15" s="20"/>
      <c r="C15" s="28">
        <v>1</v>
      </c>
      <c r="D15" s="28" t="s">
        <v>23</v>
      </c>
      <c r="E15" s="75">
        <f ca="1">IF(Tabelle1[[#This Row],[Übrige AT]]="","",Tabelle1[[#This Row],[Übrige AT]]-ROW()/1000000)</f>
        <v>-133.00001499999999</v>
      </c>
      <c r="F15" s="29" t="s">
        <v>22</v>
      </c>
      <c r="G15" s="29" t="s">
        <v>48</v>
      </c>
      <c r="H15" s="29" t="s">
        <v>17</v>
      </c>
      <c r="I15" s="30">
        <v>43145</v>
      </c>
      <c r="J15" s="30">
        <v>43474</v>
      </c>
      <c r="K15" s="77">
        <f ca="1">IF(Tabelle1[[#This Row],[Enddatum]]="","",NETWORKDAYS($D$5,Tabelle1[[#This Row],[Enddatum]]))</f>
        <v>-133</v>
      </c>
      <c r="L15" s="29" t="s">
        <v>20</v>
      </c>
      <c r="M15" s="31">
        <f ca="1">IF(AND(Tabelle1[[#This Row],[Status]]&lt;&gt;"DONE",Tabelle1[[#This Row],[Enddatum]]&lt;$D$5),-2,1)</f>
        <v>-2</v>
      </c>
      <c r="N15" s="25"/>
    </row>
    <row r="16" spans="2:14" x14ac:dyDescent="0.3">
      <c r="B16" s="20"/>
      <c r="C16" s="28">
        <v>2</v>
      </c>
      <c r="D16" s="28" t="s">
        <v>31</v>
      </c>
      <c r="E16" s="75">
        <f ca="1">IF(Tabelle1[[#This Row],[Übrige AT]]="","",Tabelle1[[#This Row],[Übrige AT]]-ROW()/1000000)</f>
        <v>110.999984</v>
      </c>
      <c r="F16" s="28" t="s">
        <v>34</v>
      </c>
      <c r="G16" s="28" t="s">
        <v>49</v>
      </c>
      <c r="H16" s="29" t="s">
        <v>18</v>
      </c>
      <c r="I16" s="32">
        <v>43101</v>
      </c>
      <c r="J16" s="32">
        <v>43812</v>
      </c>
      <c r="K16" s="77">
        <f ca="1">IF(Tabelle1[[#This Row],[Enddatum]]="","",NETWORKDAYS($D$5,Tabelle1[[#This Row],[Enddatum]]))</f>
        <v>111</v>
      </c>
      <c r="L16" s="28" t="s">
        <v>21</v>
      </c>
      <c r="M16" s="31">
        <f ca="1">IF(AND(Tabelle1[[#This Row],[Status]]&lt;&gt;"DONE",Tabelle1[[#This Row],[Enddatum]]&lt;$D$5),-2,1)</f>
        <v>1</v>
      </c>
      <c r="N16" s="25"/>
    </row>
    <row r="17" spans="2:14" x14ac:dyDescent="0.3">
      <c r="B17" s="20"/>
      <c r="C17" s="28">
        <v>3</v>
      </c>
      <c r="D17" s="28" t="s">
        <v>23</v>
      </c>
      <c r="E17" s="75">
        <f ca="1">IF(Tabelle1[[#This Row],[Übrige AT]]="","",Tabelle1[[#This Row],[Übrige AT]]-ROW()/1000000)</f>
        <v>97.999983</v>
      </c>
      <c r="F17" s="28" t="s">
        <v>35</v>
      </c>
      <c r="G17" s="28" t="s">
        <v>50</v>
      </c>
      <c r="H17" s="29" t="s">
        <v>18</v>
      </c>
      <c r="I17" s="32">
        <v>43121</v>
      </c>
      <c r="J17" s="32">
        <v>43795</v>
      </c>
      <c r="K17" s="77">
        <f ca="1">IF(Tabelle1[[#This Row],[Enddatum]]="","",NETWORKDAYS($D$5,Tabelle1[[#This Row],[Enddatum]]))</f>
        <v>98</v>
      </c>
      <c r="L17" s="28" t="s">
        <v>29</v>
      </c>
      <c r="M17" s="31">
        <f ca="1">IF(AND(Tabelle1[[#This Row],[Status]]&lt;&gt;"DONE",Tabelle1[[#This Row],[Enddatum]]&lt;$D$5),-2,1)</f>
        <v>1</v>
      </c>
      <c r="N17" s="25"/>
    </row>
    <row r="18" spans="2:14" x14ac:dyDescent="0.3">
      <c r="B18" s="20"/>
      <c r="C18" s="28">
        <v>4</v>
      </c>
      <c r="D18" s="28" t="s">
        <v>32</v>
      </c>
      <c r="E18" s="75">
        <f ca="1">IF(Tabelle1[[#This Row],[Übrige AT]]="","",Tabelle1[[#This Row],[Übrige AT]]-ROW()/1000000)</f>
        <v>20.999981999999999</v>
      </c>
      <c r="F18" s="28" t="s">
        <v>36</v>
      </c>
      <c r="G18" s="28" t="s">
        <v>51</v>
      </c>
      <c r="H18" s="29" t="s">
        <v>18</v>
      </c>
      <c r="I18" s="32">
        <v>43141</v>
      </c>
      <c r="J18" s="32">
        <v>43686</v>
      </c>
      <c r="K18" s="77">
        <f ca="1">IF(Tabelle1[[#This Row],[Enddatum]]="","",NETWORKDAYS($D$5,Tabelle1[[#This Row],[Enddatum]]))</f>
        <v>21</v>
      </c>
      <c r="L18" s="28" t="s">
        <v>21</v>
      </c>
      <c r="M18" s="31">
        <f ca="1">IF(AND(Tabelle1[[#This Row],[Status]]&lt;&gt;"DONE",Tabelle1[[#This Row],[Enddatum]]&lt;$D$5),-2,1)</f>
        <v>1</v>
      </c>
      <c r="N18" s="25"/>
    </row>
    <row r="19" spans="2:14" x14ac:dyDescent="0.3">
      <c r="B19" s="20"/>
      <c r="C19" s="28">
        <v>5</v>
      </c>
      <c r="D19" s="28" t="s">
        <v>33</v>
      </c>
      <c r="E19" s="75">
        <f ca="1">IF(Tabelle1[[#This Row],[Übrige AT]]="","",Tabelle1[[#This Row],[Übrige AT]]-ROW()/1000000)</f>
        <v>95.999981000000005</v>
      </c>
      <c r="F19" s="28" t="s">
        <v>37</v>
      </c>
      <c r="G19" s="28" t="s">
        <v>52</v>
      </c>
      <c r="H19" s="29" t="s">
        <v>17</v>
      </c>
      <c r="I19" s="32">
        <v>43161</v>
      </c>
      <c r="J19" s="32">
        <v>43791</v>
      </c>
      <c r="K19" s="77">
        <f ca="1">IF(Tabelle1[[#This Row],[Enddatum]]="","",NETWORKDAYS($D$5,Tabelle1[[#This Row],[Enddatum]]))</f>
        <v>96</v>
      </c>
      <c r="L19" s="28" t="s">
        <v>20</v>
      </c>
      <c r="M19" s="31">
        <f ca="1">IF(AND(Tabelle1[[#This Row],[Status]]&lt;&gt;"DONE",Tabelle1[[#This Row],[Enddatum]]&lt;$D$5),-2,1)</f>
        <v>1</v>
      </c>
      <c r="N19" s="25"/>
    </row>
    <row r="20" spans="2:14" x14ac:dyDescent="0.3">
      <c r="B20" s="20"/>
      <c r="C20" s="28">
        <v>6</v>
      </c>
      <c r="D20" s="28" t="s">
        <v>23</v>
      </c>
      <c r="E20" s="75">
        <f ca="1">IF(Tabelle1[[#This Row],[Übrige AT]]="","",Tabelle1[[#This Row],[Übrige AT]]-ROW()/1000000)</f>
        <v>-129.00002000000001</v>
      </c>
      <c r="F20" s="28" t="s">
        <v>38</v>
      </c>
      <c r="G20" s="28" t="s">
        <v>53</v>
      </c>
      <c r="H20" s="29" t="s">
        <v>18</v>
      </c>
      <c r="I20" s="32">
        <v>42716</v>
      </c>
      <c r="J20" s="32">
        <v>43480</v>
      </c>
      <c r="K20" s="77">
        <f ca="1">IF(Tabelle1[[#This Row],[Enddatum]]="","",NETWORKDAYS($D$5,Tabelle1[[#This Row],[Enddatum]]))</f>
        <v>-129</v>
      </c>
      <c r="L20" s="28" t="s">
        <v>20</v>
      </c>
      <c r="M20" s="31">
        <f ca="1">IF(AND(Tabelle1[[#This Row],[Status]]&lt;&gt;"DONE",Tabelle1[[#This Row],[Enddatum]]&lt;$D$5),-2,1)</f>
        <v>-2</v>
      </c>
      <c r="N20" s="25"/>
    </row>
    <row r="21" spans="2:14" x14ac:dyDescent="0.3">
      <c r="B21" s="20"/>
      <c r="C21" s="28">
        <v>7</v>
      </c>
      <c r="D21" s="28" t="s">
        <v>23</v>
      </c>
      <c r="E21" s="75">
        <f ca="1">IF(Tabelle1[[#This Row],[Übrige AT]]="","",Tabelle1[[#This Row],[Übrige AT]]-ROW()/1000000)</f>
        <v>-120.000021</v>
      </c>
      <c r="F21" s="28" t="s">
        <v>39</v>
      </c>
      <c r="G21" s="28" t="s">
        <v>54</v>
      </c>
      <c r="H21" s="29" t="s">
        <v>18</v>
      </c>
      <c r="I21" s="32">
        <v>43101</v>
      </c>
      <c r="J21" s="32">
        <v>43493</v>
      </c>
      <c r="K21" s="77">
        <f ca="1">IF(Tabelle1[[#This Row],[Enddatum]]="","",NETWORKDAYS($D$5,Tabelle1[[#This Row],[Enddatum]]))</f>
        <v>-120</v>
      </c>
      <c r="L21" s="28" t="s">
        <v>29</v>
      </c>
      <c r="M21" s="31">
        <f ca="1">IF(AND(Tabelle1[[#This Row],[Status]]&lt;&gt;"DONE",Tabelle1[[#This Row],[Enddatum]]&lt;$D$5),-2,1)</f>
        <v>-2</v>
      </c>
      <c r="N21" s="25"/>
    </row>
    <row r="22" spans="2:14" x14ac:dyDescent="0.3">
      <c r="B22" s="20"/>
      <c r="C22" s="28">
        <v>8</v>
      </c>
      <c r="D22" s="28" t="s">
        <v>32</v>
      </c>
      <c r="E22" s="75">
        <f ca="1">IF(Tabelle1[[#This Row],[Übrige AT]]="","",Tabelle1[[#This Row],[Übrige AT]]-ROW()/1000000)</f>
        <v>-110.000022</v>
      </c>
      <c r="F22" s="28" t="s">
        <v>40</v>
      </c>
      <c r="G22" s="28" t="s">
        <v>55</v>
      </c>
      <c r="H22" s="29" t="s">
        <v>19</v>
      </c>
      <c r="I22" s="32">
        <v>43121</v>
      </c>
      <c r="J22" s="32">
        <v>43506</v>
      </c>
      <c r="K22" s="77">
        <f ca="1">IF(Tabelle1[[#This Row],[Enddatum]]="","",NETWORKDAYS($D$5,Tabelle1[[#This Row],[Enddatum]]))</f>
        <v>-110</v>
      </c>
      <c r="L22" s="28" t="s">
        <v>30</v>
      </c>
      <c r="M22" s="31">
        <f ca="1">IF(AND(Tabelle1[[#This Row],[Status]]&lt;&gt;"DONE",Tabelle1[[#This Row],[Enddatum]]&lt;$D$5),-2,1)</f>
        <v>1</v>
      </c>
      <c r="N22" s="25"/>
    </row>
    <row r="23" spans="2:14" x14ac:dyDescent="0.3">
      <c r="B23" s="20"/>
      <c r="C23" s="28">
        <v>9</v>
      </c>
      <c r="D23" s="28" t="s">
        <v>31</v>
      </c>
      <c r="E23" s="75">
        <f ca="1">IF(Tabelle1[[#This Row],[Übrige AT]]="","",Tabelle1[[#This Row],[Übrige AT]]-ROW()/1000000)</f>
        <v>-100.000023</v>
      </c>
      <c r="F23" s="28" t="s">
        <v>41</v>
      </c>
      <c r="G23" s="28" t="s">
        <v>56</v>
      </c>
      <c r="H23" s="29" t="s">
        <v>18</v>
      </c>
      <c r="I23" s="32">
        <v>43141</v>
      </c>
      <c r="J23" s="32">
        <v>43519</v>
      </c>
      <c r="K23" s="77">
        <f ca="1">IF(Tabelle1[[#This Row],[Enddatum]]="","",NETWORKDAYS($D$5,Tabelle1[[#This Row],[Enddatum]]))</f>
        <v>-100</v>
      </c>
      <c r="L23" s="28" t="s">
        <v>21</v>
      </c>
      <c r="M23" s="31">
        <f ca="1">IF(AND(Tabelle1[[#This Row],[Status]]&lt;&gt;"DONE",Tabelle1[[#This Row],[Enddatum]]&lt;$D$5),-2,1)</f>
        <v>-2</v>
      </c>
      <c r="N23" s="25"/>
    </row>
    <row r="24" spans="2:14" x14ac:dyDescent="0.3">
      <c r="B24" s="20"/>
      <c r="C24" s="28">
        <v>10</v>
      </c>
      <c r="D24" s="28" t="s">
        <v>33</v>
      </c>
      <c r="E24" s="75">
        <f ca="1">IF(Tabelle1[[#This Row],[Übrige AT]]="","",Tabelle1[[#This Row],[Übrige AT]]-ROW()/1000000)</f>
        <v>-396.000024</v>
      </c>
      <c r="F24" s="28" t="s">
        <v>42</v>
      </c>
      <c r="G24" s="28" t="s">
        <v>57</v>
      </c>
      <c r="H24" s="29" t="s">
        <v>19</v>
      </c>
      <c r="I24" s="32">
        <v>42665</v>
      </c>
      <c r="J24" s="32">
        <v>43105</v>
      </c>
      <c r="K24" s="77">
        <f ca="1">IF(Tabelle1[[#This Row],[Enddatum]]="","",NETWORKDAYS($D$5,Tabelle1[[#This Row],[Enddatum]]))</f>
        <v>-396</v>
      </c>
      <c r="L24" s="28" t="s">
        <v>21</v>
      </c>
      <c r="M24" s="31">
        <f ca="1">IF(AND(Tabelle1[[#This Row],[Status]]&lt;&gt;"DONE",Tabelle1[[#This Row],[Enddatum]]&lt;$D$5),-2,1)</f>
        <v>1</v>
      </c>
      <c r="N24" s="25"/>
    </row>
    <row r="25" spans="2:14" x14ac:dyDescent="0.3">
      <c r="B25" s="20"/>
      <c r="C25" s="28">
        <v>11</v>
      </c>
      <c r="D25" s="28" t="s">
        <v>23</v>
      </c>
      <c r="E25" s="75">
        <f ca="1">IF(Tabelle1[[#This Row],[Übrige AT]]="","",Tabelle1[[#This Row],[Übrige AT]]-ROW()/1000000)</f>
        <v>161.99997500000001</v>
      </c>
      <c r="F25" s="28" t="s">
        <v>43</v>
      </c>
      <c r="G25" s="28" t="s">
        <v>58</v>
      </c>
      <c r="H25" s="29" t="s">
        <v>18</v>
      </c>
      <c r="I25" s="32">
        <v>43780</v>
      </c>
      <c r="J25" s="32">
        <v>43885</v>
      </c>
      <c r="K25" s="77">
        <f ca="1">IF(Tabelle1[[#This Row],[Enddatum]]="","",NETWORKDAYS($D$5,Tabelle1[[#This Row],[Enddatum]]))</f>
        <v>162</v>
      </c>
      <c r="L25" s="28" t="s">
        <v>30</v>
      </c>
      <c r="M25" s="31">
        <f ca="1">IF(AND(Tabelle1[[#This Row],[Status]]&lt;&gt;"DONE",Tabelle1[[#This Row],[Enddatum]]&lt;$D$5),-2,1)</f>
        <v>1</v>
      </c>
      <c r="N25" s="25"/>
    </row>
    <row r="26" spans="2:14" x14ac:dyDescent="0.3">
      <c r="B26" s="20"/>
      <c r="C26" s="28">
        <v>12</v>
      </c>
      <c r="D26" s="28" t="s">
        <v>23</v>
      </c>
      <c r="E26" s="75">
        <f ca="1">IF(Tabelle1[[#This Row],[Übrige AT]]="","",Tabelle1[[#This Row],[Übrige AT]]-ROW()/1000000)</f>
        <v>-351.00002599999999</v>
      </c>
      <c r="F26" s="28" t="s">
        <v>44</v>
      </c>
      <c r="G26" s="28" t="s">
        <v>59</v>
      </c>
      <c r="H26" s="29" t="s">
        <v>19</v>
      </c>
      <c r="I26" s="32">
        <v>43150</v>
      </c>
      <c r="J26" s="32">
        <v>43168</v>
      </c>
      <c r="K26" s="77">
        <f ca="1">IF(Tabelle1[[#This Row],[Enddatum]]="","",NETWORKDAYS($D$5,Tabelle1[[#This Row],[Enddatum]]))</f>
        <v>-351</v>
      </c>
      <c r="L26" s="28" t="s">
        <v>20</v>
      </c>
      <c r="M26" s="31">
        <f ca="1">IF(AND(Tabelle1[[#This Row],[Status]]&lt;&gt;"DONE",Tabelle1[[#This Row],[Enddatum]]&lt;$D$5),-2,1)</f>
        <v>1</v>
      </c>
      <c r="N26" s="25"/>
    </row>
    <row r="27" spans="2:14" x14ac:dyDescent="0.3">
      <c r="B27" s="20"/>
      <c r="C27" s="28">
        <v>13</v>
      </c>
      <c r="D27" s="28" t="s">
        <v>32</v>
      </c>
      <c r="E27" s="75">
        <f ca="1">IF(Tabelle1[[#This Row],[Übrige AT]]="","",Tabelle1[[#This Row],[Übrige AT]]-ROW()/1000000)</f>
        <v>-351.00002699999999</v>
      </c>
      <c r="F27" s="28" t="s">
        <v>45</v>
      </c>
      <c r="G27" s="28" t="s">
        <v>60</v>
      </c>
      <c r="H27" s="29" t="s">
        <v>19</v>
      </c>
      <c r="I27" s="32">
        <v>43150</v>
      </c>
      <c r="J27" s="32">
        <v>43168</v>
      </c>
      <c r="K27" s="77">
        <f ca="1">IF(Tabelle1[[#This Row],[Enddatum]]="","",NETWORKDAYS($D$5,Tabelle1[[#This Row],[Enddatum]]))</f>
        <v>-351</v>
      </c>
      <c r="L27" s="28" t="s">
        <v>20</v>
      </c>
      <c r="M27" s="31">
        <f ca="1">IF(AND(Tabelle1[[#This Row],[Status]]&lt;&gt;"DONE",Tabelle1[[#This Row],[Enddatum]]&lt;$D$5),-2,1)</f>
        <v>1</v>
      </c>
      <c r="N27" s="25"/>
    </row>
    <row r="28" spans="2:14" x14ac:dyDescent="0.3">
      <c r="B28" s="20"/>
      <c r="C28" s="28">
        <v>14</v>
      </c>
      <c r="D28" s="28" t="s">
        <v>33</v>
      </c>
      <c r="E28" s="75">
        <f ca="1">IF(Tabelle1[[#This Row],[Übrige AT]]="","",Tabelle1[[#This Row],[Übrige AT]]-ROW()/1000000)</f>
        <v>-399.00002799999999</v>
      </c>
      <c r="F28" s="28" t="s">
        <v>46</v>
      </c>
      <c r="G28" s="28" t="s">
        <v>61</v>
      </c>
      <c r="H28" s="29" t="s">
        <v>19</v>
      </c>
      <c r="I28" s="32">
        <v>42735</v>
      </c>
      <c r="J28" s="32">
        <v>43102</v>
      </c>
      <c r="K28" s="77">
        <f ca="1">IF(Tabelle1[[#This Row],[Enddatum]]="","",NETWORKDAYS($D$5,Tabelle1[[#This Row],[Enddatum]]))</f>
        <v>-399</v>
      </c>
      <c r="L28" s="28" t="s">
        <v>20</v>
      </c>
      <c r="M28" s="31">
        <f ca="1">IF(AND(Tabelle1[[#This Row],[Status]]&lt;&gt;"DONE",Tabelle1[[#This Row],[Enddatum]]&lt;$D$5),-2,1)</f>
        <v>1</v>
      </c>
      <c r="N28" s="25"/>
    </row>
    <row r="29" spans="2:14" x14ac:dyDescent="0.3">
      <c r="B29" s="20"/>
      <c r="C29" s="33">
        <v>15</v>
      </c>
      <c r="D29" s="33" t="s">
        <v>31</v>
      </c>
      <c r="E29" s="76">
        <f ca="1">IF(Tabelle1[[#This Row],[Übrige AT]]="","",Tabelle1[[#This Row],[Übrige AT]]-ROW()/1000000)</f>
        <v>43.999971000000002</v>
      </c>
      <c r="F29" s="33" t="s">
        <v>47</v>
      </c>
      <c r="G29" s="33" t="s">
        <v>62</v>
      </c>
      <c r="H29" s="29" t="s">
        <v>18</v>
      </c>
      <c r="I29" s="32">
        <v>43666</v>
      </c>
      <c r="J29" s="32">
        <v>43719</v>
      </c>
      <c r="K29" s="77">
        <f ca="1">IF(Tabelle1[[#This Row],[Enddatum]]="","",NETWORKDAYS($D$5,Tabelle1[[#This Row],[Enddatum]]))</f>
        <v>44</v>
      </c>
      <c r="L29" s="28" t="s">
        <v>20</v>
      </c>
      <c r="M29" s="31">
        <f ca="1">IF(AND(Tabelle1[[#This Row],[Status]]&lt;&gt;"DONE",Tabelle1[[#This Row],[Enddatum]]&lt;$D$5),-2,1)</f>
        <v>1</v>
      </c>
      <c r="N29" s="25"/>
    </row>
    <row r="30" spans="2:14" x14ac:dyDescent="0.3">
      <c r="B30" s="20"/>
      <c r="C30" s="28">
        <v>16</v>
      </c>
      <c r="D30" s="33" t="s">
        <v>67</v>
      </c>
      <c r="E30" s="76">
        <f ca="1">IF(Tabelle1[[#This Row],[Übrige AT]]="","",Tabelle1[[#This Row],[Übrige AT]]-ROW()/1000000)</f>
        <v>35.999969999999998</v>
      </c>
      <c r="F30" s="33" t="s">
        <v>71</v>
      </c>
      <c r="G30" s="33" t="s">
        <v>75</v>
      </c>
      <c r="H30" s="29" t="s">
        <v>17</v>
      </c>
      <c r="I30" s="101">
        <v>43658</v>
      </c>
      <c r="J30" s="101">
        <v>43708</v>
      </c>
      <c r="K30" s="77">
        <f ca="1">IF(Tabelle1[[#This Row],[Enddatum]]="","",NETWORKDAYS($D$5,Tabelle1[[#This Row],[Enddatum]]))</f>
        <v>36</v>
      </c>
      <c r="L30" s="33" t="s">
        <v>80</v>
      </c>
      <c r="M30" s="103">
        <f ca="1">IF(AND(Tabelle1[[#This Row],[Status]]&lt;&gt;"DONE",Tabelle1[[#This Row],[Enddatum]]&lt;$D$5),-2,1)</f>
        <v>1</v>
      </c>
      <c r="N30" s="25"/>
    </row>
    <row r="31" spans="2:14" x14ac:dyDescent="0.3">
      <c r="B31" s="20"/>
      <c r="C31" s="28">
        <v>17</v>
      </c>
      <c r="D31" s="33" t="s">
        <v>68</v>
      </c>
      <c r="E31" s="76">
        <f ca="1">IF(Tabelle1[[#This Row],[Übrige AT]]="","",Tabelle1[[#This Row],[Übrige AT]]-ROW()/1000000)</f>
        <v>4.9999690000000001</v>
      </c>
      <c r="F31" s="33" t="s">
        <v>72</v>
      </c>
      <c r="G31" s="33" t="s">
        <v>76</v>
      </c>
      <c r="H31" s="29" t="s">
        <v>18</v>
      </c>
      <c r="I31" s="101">
        <v>43658</v>
      </c>
      <c r="J31" s="101">
        <v>43664</v>
      </c>
      <c r="K31" s="77">
        <f ca="1">IF(Tabelle1[[#This Row],[Enddatum]]="","",NETWORKDAYS($D$5,Tabelle1[[#This Row],[Enddatum]]))</f>
        <v>5</v>
      </c>
      <c r="L31" s="33" t="s">
        <v>80</v>
      </c>
      <c r="M31" s="103">
        <f ca="1">IF(AND(Tabelle1[[#This Row],[Status]]&lt;&gt;"DONE",Tabelle1[[#This Row],[Enddatum]]&lt;$D$5),-2,1)</f>
        <v>1</v>
      </c>
      <c r="N31" s="25"/>
    </row>
    <row r="32" spans="2:14" x14ac:dyDescent="0.3">
      <c r="B32" s="20"/>
      <c r="C32" s="28">
        <v>18</v>
      </c>
      <c r="D32" s="33" t="s">
        <v>69</v>
      </c>
      <c r="E32" s="76">
        <f ca="1">IF(Tabelle1[[#This Row],[Übrige AT]]="","",Tabelle1[[#This Row],[Übrige AT]]-ROW()/1000000)</f>
        <v>0.99996799999999997</v>
      </c>
      <c r="F32" s="33" t="s">
        <v>73</v>
      </c>
      <c r="G32" s="33" t="s">
        <v>75</v>
      </c>
      <c r="H32" s="29" t="s">
        <v>17</v>
      </c>
      <c r="I32" s="101">
        <v>43658</v>
      </c>
      <c r="J32" s="101">
        <v>43658</v>
      </c>
      <c r="K32" s="102">
        <f ca="1">IF(Tabelle1[[#This Row],[Enddatum]]="","",NETWORKDAYS($D$5,Tabelle1[[#This Row],[Enddatum]]))</f>
        <v>1</v>
      </c>
      <c r="L32" s="33" t="s">
        <v>21</v>
      </c>
      <c r="M32" s="103">
        <f ca="1">IF(AND(Tabelle1[[#This Row],[Status]]&lt;&gt;"DONE",Tabelle1[[#This Row],[Enddatum]]&lt;$D$5),-2,1)</f>
        <v>1</v>
      </c>
      <c r="N32" s="25"/>
    </row>
    <row r="33" spans="2:14" x14ac:dyDescent="0.3">
      <c r="B33" s="20"/>
      <c r="C33" s="33">
        <v>19</v>
      </c>
      <c r="D33" s="33" t="s">
        <v>70</v>
      </c>
      <c r="E33" s="76">
        <f ca="1">IF(Tabelle1[[#This Row],[Übrige AT]]="","",Tabelle1[[#This Row],[Übrige AT]]-ROW()/1000000)</f>
        <v>30.999967000000002</v>
      </c>
      <c r="F33" s="33" t="s">
        <v>74</v>
      </c>
      <c r="G33" s="33" t="s">
        <v>77</v>
      </c>
      <c r="H33" s="29" t="s">
        <v>18</v>
      </c>
      <c r="I33" s="101">
        <v>43658</v>
      </c>
      <c r="J33" s="101">
        <v>43701</v>
      </c>
      <c r="K33" s="102">
        <f ca="1">IF(Tabelle1[[#This Row],[Enddatum]]="","",NETWORKDAYS($D$5,Tabelle1[[#This Row],[Enddatum]]))</f>
        <v>31</v>
      </c>
      <c r="L33" s="33" t="s">
        <v>21</v>
      </c>
      <c r="M33" s="103">
        <f ca="1">IF(AND(Tabelle1[[#This Row],[Status]]&lt;&gt;"DONE",Tabelle1[[#This Row],[Enddatum]]&lt;$D$5),-2,1)</f>
        <v>1</v>
      </c>
      <c r="N33" s="25"/>
    </row>
    <row r="34" spans="2:14" x14ac:dyDescent="0.3">
      <c r="B34" s="20"/>
      <c r="C34" s="33">
        <v>20</v>
      </c>
      <c r="D34" s="33" t="s">
        <v>81</v>
      </c>
      <c r="E34" s="76">
        <f ca="1">IF(Tabelle1[[#This Row],[Übrige AT]]="","",Tabelle1[[#This Row],[Übrige AT]]-ROW()/1000000)</f>
        <v>79.999966000000001</v>
      </c>
      <c r="F34" s="33" t="s">
        <v>78</v>
      </c>
      <c r="G34" s="33" t="s">
        <v>79</v>
      </c>
      <c r="H34" s="29" t="s">
        <v>17</v>
      </c>
      <c r="I34" s="101">
        <v>43658</v>
      </c>
      <c r="J34" s="101">
        <v>43769</v>
      </c>
      <c r="K34" s="102">
        <f ca="1">IF(Tabelle1[[#This Row],[Enddatum]]="","",NETWORKDAYS($D$5,Tabelle1[[#This Row],[Enddatum]]))</f>
        <v>80</v>
      </c>
      <c r="L34" s="33" t="s">
        <v>21</v>
      </c>
      <c r="M34" s="103">
        <f ca="1">IF(AND(Tabelle1[[#This Row],[Status]]&lt;&gt;"DONE",Tabelle1[[#This Row],[Enddatum]]&lt;$D$5),-2,1)</f>
        <v>1</v>
      </c>
      <c r="N34" s="25"/>
    </row>
    <row r="35" spans="2:14" x14ac:dyDescent="0.3">
      <c r="B35" s="20"/>
      <c r="C35" s="33">
        <v>21</v>
      </c>
      <c r="D35" s="33"/>
      <c r="E35" s="76" t="str">
        <f>IF(Tabelle1[[#This Row],[Übrige AT]]="","",Tabelle1[[#This Row],[Übrige AT]]-ROW()/1000000)</f>
        <v/>
      </c>
      <c r="F35" s="33"/>
      <c r="G35" s="33"/>
      <c r="H35" s="33"/>
      <c r="I35" s="101"/>
      <c r="J35" s="101"/>
      <c r="K35" s="102" t="str">
        <f>IF(Tabelle1[[#This Row],[Enddatum]]="","",NETWORKDAYS($D$5,Tabelle1[[#This Row],[Enddatum]]))</f>
        <v/>
      </c>
      <c r="L35" s="33"/>
      <c r="M35" s="103">
        <f ca="1">IF(AND(Tabelle1[[#This Row],[Status]]&lt;&gt;"DONE",Tabelle1[[#This Row],[Enddatum]]&lt;$D$5),-2,1)</f>
        <v>-2</v>
      </c>
      <c r="N35" s="25"/>
    </row>
    <row r="36" spans="2:14" x14ac:dyDescent="0.3">
      <c r="B36" s="20"/>
      <c r="C36" s="28">
        <v>22</v>
      </c>
      <c r="D36" s="28"/>
      <c r="E36" s="75" t="str">
        <f>IF(Tabelle1[[#This Row],[Übrige AT]]="","",Tabelle1[[#This Row],[Übrige AT]]-ROW()/1000000)</f>
        <v/>
      </c>
      <c r="F36" s="28"/>
      <c r="G36" s="28"/>
      <c r="H36" s="28"/>
      <c r="I36" s="32"/>
      <c r="J36" s="32"/>
      <c r="K36" s="99" t="str">
        <f>IF(Tabelle1[[#This Row],[Enddatum]]="","",NETWORKDAYS($D$5,Tabelle1[[#This Row],[Enddatum]]))</f>
        <v/>
      </c>
      <c r="L36" s="28"/>
      <c r="M36" s="100">
        <f ca="1">IF(AND(Tabelle1[[#This Row],[Status]]&lt;&gt;"DONE",Tabelle1[[#This Row],[Enddatum]]&lt;$D$5),-2,1)</f>
        <v>-2</v>
      </c>
      <c r="N36" s="25"/>
    </row>
    <row r="37" spans="2:14" x14ac:dyDescent="0.3">
      <c r="B37" s="20"/>
      <c r="C37" s="28">
        <v>23</v>
      </c>
      <c r="D37" s="28"/>
      <c r="E37" s="75" t="str">
        <f>IF(Tabelle1[[#This Row],[Übrige AT]]="","",Tabelle1[[#This Row],[Übrige AT]]-ROW()/1000000)</f>
        <v/>
      </c>
      <c r="F37" s="28"/>
      <c r="G37" s="28"/>
      <c r="H37" s="28"/>
      <c r="I37" s="32"/>
      <c r="J37" s="32"/>
      <c r="K37" s="99" t="str">
        <f>IF(Tabelle1[[#This Row],[Enddatum]]="","",NETWORKDAYS($D$5,Tabelle1[[#This Row],[Enddatum]]))</f>
        <v/>
      </c>
      <c r="L37" s="28"/>
      <c r="M37" s="100">
        <f ca="1">IF(AND(Tabelle1[[#This Row],[Status]]&lt;&gt;"DONE",Tabelle1[[#This Row],[Enddatum]]&lt;$D$5),-2,1)</f>
        <v>-2</v>
      </c>
      <c r="N37" s="25"/>
    </row>
    <row r="38" spans="2:14" x14ac:dyDescent="0.3">
      <c r="B38" s="20"/>
      <c r="C38" s="28">
        <v>24</v>
      </c>
      <c r="D38" s="28"/>
      <c r="E38" s="75" t="str">
        <f>IF(Tabelle1[[#This Row],[Übrige AT]]="","",Tabelle1[[#This Row],[Übrige AT]]-ROW()/1000000)</f>
        <v/>
      </c>
      <c r="F38" s="28"/>
      <c r="G38" s="28"/>
      <c r="H38" s="28"/>
      <c r="I38" s="32"/>
      <c r="J38" s="32"/>
      <c r="K38" s="99" t="str">
        <f>IF(Tabelle1[[#This Row],[Enddatum]]="","",NETWORKDAYS($D$5,Tabelle1[[#This Row],[Enddatum]]))</f>
        <v/>
      </c>
      <c r="L38" s="28"/>
      <c r="M38" s="100">
        <f ca="1">IF(AND(Tabelle1[[#This Row],[Status]]&lt;&gt;"DONE",Tabelle1[[#This Row],[Enddatum]]&lt;$D$5),-2,1)</f>
        <v>-2</v>
      </c>
      <c r="N38" s="25"/>
    </row>
    <row r="39" spans="2:14" x14ac:dyDescent="0.3">
      <c r="B39" s="20"/>
      <c r="C39" s="28">
        <v>25</v>
      </c>
      <c r="D39" s="28"/>
      <c r="E39" s="75" t="str">
        <f>IF(Tabelle1[[#This Row],[Übrige AT]]="","",Tabelle1[[#This Row],[Übrige AT]]-ROW()/1000000)</f>
        <v/>
      </c>
      <c r="F39" s="28"/>
      <c r="G39" s="28"/>
      <c r="H39" s="28"/>
      <c r="I39" s="32"/>
      <c r="J39" s="32"/>
      <c r="K39" s="99" t="str">
        <f>IF(Tabelle1[[#This Row],[Enddatum]]="","",NETWORKDAYS($D$5,Tabelle1[[#This Row],[Enddatum]]))</f>
        <v/>
      </c>
      <c r="L39" s="28"/>
      <c r="M39" s="100">
        <f ca="1">IF(AND(Tabelle1[[#This Row],[Status]]&lt;&gt;"DONE",Tabelle1[[#This Row],[Enddatum]]&lt;$D$5),-2,1)</f>
        <v>-2</v>
      </c>
      <c r="N39" s="25"/>
    </row>
    <row r="40" spans="2:14" x14ac:dyDescent="0.3">
      <c r="B40" s="20"/>
      <c r="C40" s="28">
        <v>26</v>
      </c>
      <c r="D40" s="28"/>
      <c r="E40" s="75" t="str">
        <f>IF(Tabelle1[[#This Row],[Übrige AT]]="","",Tabelle1[[#This Row],[Übrige AT]]-ROW()/1000000)</f>
        <v/>
      </c>
      <c r="F40" s="28"/>
      <c r="G40" s="28"/>
      <c r="H40" s="28"/>
      <c r="I40" s="32"/>
      <c r="J40" s="32"/>
      <c r="K40" s="99" t="str">
        <f>IF(Tabelle1[[#This Row],[Enddatum]]="","",NETWORKDAYS($D$5,Tabelle1[[#This Row],[Enddatum]]))</f>
        <v/>
      </c>
      <c r="L40" s="28"/>
      <c r="M40" s="100">
        <f ca="1">IF(AND(Tabelle1[[#This Row],[Status]]&lt;&gt;"DONE",Tabelle1[[#This Row],[Enddatum]]&lt;$D$5),-2,1)</f>
        <v>-2</v>
      </c>
      <c r="N40" s="25"/>
    </row>
    <row r="41" spans="2:14" x14ac:dyDescent="0.3">
      <c r="B41" s="20"/>
      <c r="C41" s="28">
        <v>27</v>
      </c>
      <c r="D41" s="28"/>
      <c r="E41" s="75" t="str">
        <f>IF(Tabelle1[[#This Row],[Übrige AT]]="","",Tabelle1[[#This Row],[Übrige AT]]-ROW()/1000000)</f>
        <v/>
      </c>
      <c r="F41" s="28"/>
      <c r="G41" s="28"/>
      <c r="H41" s="28"/>
      <c r="I41" s="32"/>
      <c r="J41" s="32"/>
      <c r="K41" s="99" t="str">
        <f>IF(Tabelle1[[#This Row],[Enddatum]]="","",NETWORKDAYS($D$5,Tabelle1[[#This Row],[Enddatum]]))</f>
        <v/>
      </c>
      <c r="L41" s="28"/>
      <c r="M41" s="100">
        <f ca="1">IF(AND(Tabelle1[[#This Row],[Status]]&lt;&gt;"DONE",Tabelle1[[#This Row],[Enddatum]]&lt;$D$5),-2,1)</f>
        <v>-2</v>
      </c>
      <c r="N41" s="25"/>
    </row>
    <row r="42" spans="2:14" x14ac:dyDescent="0.3">
      <c r="B42" s="20"/>
      <c r="C42" s="28">
        <v>28</v>
      </c>
      <c r="D42" s="28"/>
      <c r="E42" s="75" t="str">
        <f>IF(Tabelle1[[#This Row],[Übrige AT]]="","",Tabelle1[[#This Row],[Übrige AT]]-ROW()/1000000)</f>
        <v/>
      </c>
      <c r="F42" s="28"/>
      <c r="G42" s="28"/>
      <c r="H42" s="28"/>
      <c r="I42" s="32"/>
      <c r="J42" s="32"/>
      <c r="K42" s="99" t="str">
        <f>IF(Tabelle1[[#This Row],[Enddatum]]="","",NETWORKDAYS($D$5,Tabelle1[[#This Row],[Enddatum]]))</f>
        <v/>
      </c>
      <c r="L42" s="28"/>
      <c r="M42" s="100">
        <f ca="1">IF(AND(Tabelle1[[#This Row],[Status]]&lt;&gt;"DONE",Tabelle1[[#This Row],[Enddatum]]&lt;$D$5),-2,1)</f>
        <v>-2</v>
      </c>
      <c r="N42" s="25"/>
    </row>
    <row r="43" spans="2:14" x14ac:dyDescent="0.3">
      <c r="B43" s="20"/>
      <c r="C43" s="28">
        <v>29</v>
      </c>
      <c r="D43" s="28"/>
      <c r="E43" s="75" t="str">
        <f>IF(Tabelle1[[#This Row],[Übrige AT]]="","",Tabelle1[[#This Row],[Übrige AT]]-ROW()/1000000)</f>
        <v/>
      </c>
      <c r="F43" s="28"/>
      <c r="G43" s="28"/>
      <c r="H43" s="28"/>
      <c r="I43" s="32"/>
      <c r="J43" s="32"/>
      <c r="K43" s="99" t="str">
        <f>IF(Tabelle1[[#This Row],[Enddatum]]="","",NETWORKDAYS($D$5,Tabelle1[[#This Row],[Enddatum]]))</f>
        <v/>
      </c>
      <c r="L43" s="28"/>
      <c r="M43" s="100">
        <f ca="1">IF(AND(Tabelle1[[#This Row],[Status]]&lt;&gt;"DONE",Tabelle1[[#This Row],[Enddatum]]&lt;$D$5),-2,1)</f>
        <v>-2</v>
      </c>
      <c r="N43" s="25"/>
    </row>
    <row r="44" spans="2:14" x14ac:dyDescent="0.3">
      <c r="B44" s="20"/>
      <c r="C44" s="28">
        <v>30</v>
      </c>
      <c r="D44" s="28"/>
      <c r="E44" s="75" t="str">
        <f>IF(Tabelle1[[#This Row],[Übrige AT]]="","",Tabelle1[[#This Row],[Übrige AT]]-ROW()/1000000)</f>
        <v/>
      </c>
      <c r="F44" s="28"/>
      <c r="G44" s="28"/>
      <c r="H44" s="28"/>
      <c r="I44" s="32"/>
      <c r="J44" s="32"/>
      <c r="K44" s="99" t="str">
        <f>IF(Tabelle1[[#This Row],[Enddatum]]="","",NETWORKDAYS($D$5,Tabelle1[[#This Row],[Enddatum]]))</f>
        <v/>
      </c>
      <c r="L44" s="28"/>
      <c r="M44" s="100">
        <f ca="1">IF(AND(Tabelle1[[#This Row],[Status]]&lt;&gt;"DONE",Tabelle1[[#This Row],[Enddatum]]&lt;$D$5),-2,1)</f>
        <v>-2</v>
      </c>
      <c r="N44" s="25"/>
    </row>
    <row r="45" spans="2:14" x14ac:dyDescent="0.3">
      <c r="B45" s="20"/>
      <c r="C45" s="28">
        <v>31</v>
      </c>
      <c r="D45" s="33"/>
      <c r="E45" s="76" t="str">
        <f>IF(Tabelle1[[#This Row],[Übrige AT]]="","",Tabelle1[[#This Row],[Übrige AT]]-ROW()/1000000)</f>
        <v/>
      </c>
      <c r="F45" s="33"/>
      <c r="G45" s="33"/>
      <c r="H45" s="33"/>
      <c r="I45" s="101"/>
      <c r="J45" s="101"/>
      <c r="K45" s="102" t="str">
        <f>IF(Tabelle1[[#This Row],[Enddatum]]="","",NETWORKDAYS($D$5,Tabelle1[[#This Row],[Enddatum]]))</f>
        <v/>
      </c>
      <c r="L45" s="33"/>
      <c r="M45" s="103">
        <f ca="1">IF(AND(Tabelle1[[#This Row],[Status]]&lt;&gt;"DONE",Tabelle1[[#This Row],[Enddatum]]&lt;$D$5),-2,1)</f>
        <v>-2</v>
      </c>
      <c r="N45" s="25"/>
    </row>
    <row r="46" spans="2:14" x14ac:dyDescent="0.3">
      <c r="B46" s="20"/>
      <c r="C46" s="28">
        <v>32</v>
      </c>
      <c r="D46" s="33"/>
      <c r="E46" s="76" t="str">
        <f>IF(Tabelle1[[#This Row],[Übrige AT]]="","",Tabelle1[[#This Row],[Übrige AT]]-ROW()/1000000)</f>
        <v/>
      </c>
      <c r="F46" s="33"/>
      <c r="G46" s="33"/>
      <c r="H46" s="33"/>
      <c r="I46" s="101"/>
      <c r="J46" s="101"/>
      <c r="K46" s="102" t="str">
        <f>IF(Tabelle1[[#This Row],[Enddatum]]="","",NETWORKDAYS($D$5,Tabelle1[[#This Row],[Enddatum]]))</f>
        <v/>
      </c>
      <c r="L46" s="33"/>
      <c r="M46" s="103">
        <f ca="1">IF(AND(Tabelle1[[#This Row],[Status]]&lt;&gt;"DONE",Tabelle1[[#This Row],[Enddatum]]&lt;$D$5),-2,1)</f>
        <v>-2</v>
      </c>
      <c r="N46" s="25"/>
    </row>
    <row r="47" spans="2:14" x14ac:dyDescent="0.3">
      <c r="B47" s="20"/>
      <c r="C47" s="28">
        <v>33</v>
      </c>
      <c r="D47" s="33"/>
      <c r="E47" s="76" t="str">
        <f>IF(Tabelle1[[#This Row],[Übrige AT]]="","",Tabelle1[[#This Row],[Übrige AT]]-ROW()/1000000)</f>
        <v/>
      </c>
      <c r="F47" s="33"/>
      <c r="G47" s="33"/>
      <c r="H47" s="33"/>
      <c r="I47" s="101"/>
      <c r="J47" s="101"/>
      <c r="K47" s="102" t="str">
        <f>IF(Tabelle1[[#This Row],[Enddatum]]="","",NETWORKDAYS($D$5,Tabelle1[[#This Row],[Enddatum]]))</f>
        <v/>
      </c>
      <c r="L47" s="33"/>
      <c r="M47" s="103">
        <f ca="1">IF(AND(Tabelle1[[#This Row],[Status]]&lt;&gt;"DONE",Tabelle1[[#This Row],[Enddatum]]&lt;$D$5),-2,1)</f>
        <v>-2</v>
      </c>
      <c r="N47" s="25"/>
    </row>
    <row r="48" spans="2:14" x14ac:dyDescent="0.3">
      <c r="B48" s="20"/>
      <c r="C48" s="28">
        <v>34</v>
      </c>
      <c r="D48" s="28"/>
      <c r="E48" s="75" t="str">
        <f>IF(Tabelle1[[#This Row],[Übrige AT]]="","",Tabelle1[[#This Row],[Übrige AT]]-ROW()/1000000)</f>
        <v/>
      </c>
      <c r="F48" s="28"/>
      <c r="G48" s="28"/>
      <c r="H48" s="28"/>
      <c r="I48" s="32"/>
      <c r="J48" s="32"/>
      <c r="K48" s="99" t="str">
        <f>IF(Tabelle1[[#This Row],[Enddatum]]="","",NETWORKDAYS($D$5,Tabelle1[[#This Row],[Enddatum]]))</f>
        <v/>
      </c>
      <c r="L48" s="28"/>
      <c r="M48" s="100">
        <f ca="1">IF(AND(Tabelle1[[#This Row],[Status]]&lt;&gt;"DONE",Tabelle1[[#This Row],[Enddatum]]&lt;$D$5),-2,1)</f>
        <v>-2</v>
      </c>
      <c r="N48" s="25"/>
    </row>
    <row r="49" spans="2:14" x14ac:dyDescent="0.3">
      <c r="B49" s="20"/>
      <c r="C49" s="28">
        <v>35</v>
      </c>
      <c r="D49" s="28"/>
      <c r="E49" s="75" t="str">
        <f>IF(Tabelle1[[#This Row],[Übrige AT]]="","",Tabelle1[[#This Row],[Übrige AT]]-ROW()/1000000)</f>
        <v/>
      </c>
      <c r="F49" s="28"/>
      <c r="G49" s="28"/>
      <c r="H49" s="28"/>
      <c r="I49" s="32"/>
      <c r="J49" s="32"/>
      <c r="K49" s="99" t="str">
        <f>IF(Tabelle1[[#This Row],[Enddatum]]="","",NETWORKDAYS($D$5,Tabelle1[[#This Row],[Enddatum]]))</f>
        <v/>
      </c>
      <c r="L49" s="28"/>
      <c r="M49" s="100">
        <f ca="1">IF(AND(Tabelle1[[#This Row],[Status]]&lt;&gt;"DONE",Tabelle1[[#This Row],[Enddatum]]&lt;$D$5),-2,1)</f>
        <v>-2</v>
      </c>
      <c r="N49" s="25"/>
    </row>
    <row r="50" spans="2:14" ht="15" thickBot="1" x14ac:dyDescent="0.35">
      <c r="B50" s="34"/>
      <c r="C50" s="35"/>
      <c r="D50" s="36"/>
      <c r="E50" s="36"/>
      <c r="F50" s="36"/>
      <c r="G50" s="36"/>
      <c r="H50" s="36"/>
      <c r="I50" s="36"/>
      <c r="J50" s="36"/>
      <c r="K50" s="36"/>
      <c r="L50" s="36"/>
      <c r="M50" s="37"/>
      <c r="N50" s="38"/>
    </row>
    <row r="51" spans="2:14" ht="15" customHeight="1" x14ac:dyDescent="0.3">
      <c r="B51" s="39"/>
      <c r="C51" s="40"/>
      <c r="D51" s="41"/>
      <c r="E51" s="41"/>
      <c r="F51" s="41"/>
      <c r="G51" s="41"/>
      <c r="H51" s="41"/>
      <c r="I51" s="41"/>
      <c r="J51" s="41"/>
      <c r="K51" s="41"/>
      <c r="L51" s="41"/>
      <c r="M51" s="42"/>
      <c r="N51" s="43" t="s">
        <v>3</v>
      </c>
    </row>
    <row r="52" spans="2:14" ht="15" customHeight="1" x14ac:dyDescent="0.3">
      <c r="B52" s="44"/>
      <c r="C52" s="45"/>
      <c r="D52" s="46"/>
      <c r="E52" s="46"/>
      <c r="F52" s="46"/>
      <c r="G52" s="46"/>
      <c r="H52" s="46"/>
      <c r="I52" s="46"/>
      <c r="J52" s="46"/>
      <c r="K52" s="46"/>
      <c r="L52" s="46"/>
      <c r="M52" s="42"/>
      <c r="N52" s="47" t="s">
        <v>26</v>
      </c>
    </row>
    <row r="53" spans="2:14" ht="15" customHeight="1" thickBot="1" x14ac:dyDescent="0.35">
      <c r="B53" s="48"/>
      <c r="C53" s="49"/>
      <c r="D53" s="50"/>
      <c r="E53" s="50"/>
      <c r="F53" s="50"/>
      <c r="G53" s="50"/>
      <c r="H53" s="50"/>
      <c r="I53" s="50"/>
      <c r="J53" s="50"/>
      <c r="K53" s="50"/>
      <c r="L53" s="50"/>
      <c r="M53" s="51"/>
      <c r="N53" s="52" t="s">
        <v>13</v>
      </c>
    </row>
    <row r="54" spans="2:14" x14ac:dyDescent="0.3">
      <c r="M54" s="54"/>
      <c r="N54" s="54"/>
    </row>
    <row r="55" spans="2:14" x14ac:dyDescent="0.3">
      <c r="M55" s="54"/>
      <c r="N55" s="54"/>
    </row>
    <row r="56" spans="2:14" x14ac:dyDescent="0.3">
      <c r="M56" s="54"/>
      <c r="N56" s="54"/>
    </row>
    <row r="57" spans="2:14" x14ac:dyDescent="0.3">
      <c r="M57" s="54"/>
      <c r="N57" s="54"/>
    </row>
    <row r="58" spans="2:14" x14ac:dyDescent="0.3">
      <c r="M58" s="54"/>
      <c r="N58" s="54"/>
    </row>
    <row r="59" spans="2:14" x14ac:dyDescent="0.3">
      <c r="M59" s="54"/>
      <c r="N59" s="54"/>
    </row>
    <row r="60" spans="2:14" x14ac:dyDescent="0.3">
      <c r="M60" s="54"/>
      <c r="N60" s="54"/>
    </row>
  </sheetData>
  <mergeCells count="7">
    <mergeCell ref="M2:N4"/>
    <mergeCell ref="J6:M6"/>
    <mergeCell ref="J7:K7"/>
    <mergeCell ref="L7:M7"/>
    <mergeCell ref="C6:F6"/>
    <mergeCell ref="C7:D7"/>
    <mergeCell ref="G6:I6"/>
  </mergeCells>
  <phoneticPr fontId="2" type="noConversion"/>
  <conditionalFormatting sqref="M15:M49">
    <cfRule type="iconSet" priority="1">
      <iconSet iconSet="3Symbols">
        <cfvo type="percent" val="0"/>
        <cfvo type="num" val="-1" gte="0"/>
        <cfvo type="num" val="0" gte="0"/>
      </iconSet>
    </cfRule>
  </conditionalFormatting>
  <dataValidations count="1">
    <dataValidation type="list" allowBlank="1" showInputMessage="1" showErrorMessage="1" sqref="H15:H49" xr:uid="{00000000-0002-0000-0100-000000000000}">
      <formula1>"NEW,DOING,DONE"</formula1>
    </dataValidation>
  </dataValidations>
  <hyperlinks>
    <hyperlink ref="N52" r:id="rId1" xr:uid="{00000000-0004-0000-0100-000000000000}"/>
    <hyperlink ref="D3" r:id="rId2" xr:uid="{00000000-0004-0000-0100-000001000000}"/>
    <hyperlink ref="N53" r:id="rId3" xr:uid="{00000000-0004-0000-0100-000002000000}"/>
  </hyperlinks>
  <pageMargins left="0.7" right="0.7" top="0.78740157499999996" bottom="0.78740157499999996" header="0.3" footer="0.3"/>
  <pageSetup paperSize="9" orientation="portrait" horizontalDpi="4294967294" verticalDpi="4294967294" r:id="rId4"/>
  <drawing r:id="rId5"/>
  <tableParts count="1">
    <tablePart r:id="rId6"/>
  </tablePart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Start</vt:lpstr>
      <vt:lpstr>Exceltivity</vt:lpstr>
    </vt:vector>
  </TitlesOfParts>
  <Company>Deutsche Telekom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A3473038</dc:creator>
  <cp:lastModifiedBy>Exler, Artur</cp:lastModifiedBy>
  <cp:lastPrinted>2016-09-20T15:16:58Z</cp:lastPrinted>
  <dcterms:created xsi:type="dcterms:W3CDTF">2016-07-26T12:33:59Z</dcterms:created>
  <dcterms:modified xsi:type="dcterms:W3CDTF">2019-07-12T07:52:40Z</dcterms:modified>
</cp:coreProperties>
</file>